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codeName="ThisWorkbook" defaultThemeVersion="202300"/>
  <mc:AlternateContent xmlns:mc="http://schemas.openxmlformats.org/markup-compatibility/2006">
    <mc:Choice Requires="x15">
      <x15ac:absPath xmlns:x15ac="http://schemas.microsoft.com/office/spreadsheetml/2010/11/ac" url="/Users/ednaaguinaga/Library/CloudStorage/OneDrive-EndeavourSilverCorp/Sustainability/EDR Disclosures/GRI Sustainabilty Report/GRI Report 2023/Final files/"/>
    </mc:Choice>
  </mc:AlternateContent>
  <xr:revisionPtr revIDLastSave="0" documentId="13_ncr:1_{650C91F9-7C1E-1448-B801-57012F47796B}" xr6:coauthVersionLast="47" xr6:coauthVersionMax="47" xr10:uidLastSave="{00000000-0000-0000-0000-000000000000}"/>
  <bookViews>
    <workbookView xWindow="0" yWindow="740" windowWidth="34460" windowHeight="19100" xr2:uid="{8B59475A-29F6-1346-960D-D345053E42FC}"/>
  </bookViews>
  <sheets>
    <sheet name="Introduction" sheetId="4" r:id="rId1"/>
    <sheet name="Workforce" sheetId="1" r:id="rId2"/>
    <sheet name="Health and Safety" sheetId="6" r:id="rId3"/>
    <sheet name="Community Relations" sheetId="7" r:id="rId4"/>
    <sheet name="Energy and Emissions" sheetId="8" r:id="rId5"/>
    <sheet name="Water and Biodiversity" sheetId="3" r:id="rId6"/>
    <sheet name="Tailings and Waste" sheetId="2" r:id="rId7"/>
    <sheet name="Business" sheetId="5" r:id="rId8"/>
  </sheets>
  <externalReferences>
    <externalReference r:id="rId9"/>
  </externalReferences>
  <definedNames>
    <definedName name="A_impresión_IM" localSheetId="7">#REF!</definedName>
    <definedName name="A_impresión_IM" localSheetId="3">#REF!</definedName>
    <definedName name="A_impresión_IM" localSheetId="4">#REF!</definedName>
    <definedName name="A_impresión_IM" localSheetId="2">#REF!</definedName>
    <definedName name="A_impresión_IM" localSheetId="1">#REF!</definedName>
    <definedName name="A_impresión_IM">#REF!</definedName>
    <definedName name="Z_5235D54F_236D_9845_9841_14145FDE0ACC_.wvu.Cols" localSheetId="7" hidden="1">Business!$T:$Z,Business!$AB:$AG</definedName>
    <definedName name="Z_5235D54F_236D_9845_9841_14145FDE0ACC_.wvu.Cols" localSheetId="3" hidden="1">'Community Relations'!$P:$U,'Community Relations'!$W:$AC</definedName>
    <definedName name="Z_5235D54F_236D_9845_9841_14145FDE0ACC_.wvu.Cols" localSheetId="4" hidden="1">'Energy and Emissions'!$M:$O,'Energy and Emissions'!$Q:$S</definedName>
    <definedName name="Z_5235D54F_236D_9845_9841_14145FDE0ACC_.wvu.Cols" localSheetId="2" hidden="1">'Health and Safety'!$L:$O,'Health and Safety'!$Q:$S</definedName>
    <definedName name="Z_5235D54F_236D_9845_9841_14145FDE0ACC_.wvu.Cols" localSheetId="6" hidden="1">'Tailings and Waste'!$M:$O,'Tailings and Waste'!#REF!</definedName>
    <definedName name="Z_5235D54F_236D_9845_9841_14145FDE0ACC_.wvu.Cols" localSheetId="5" hidden="1">'Water and Biodiversity'!$O:$R,'Water and Biodiversity'!#REF!</definedName>
    <definedName name="Z_5235D54F_236D_9845_9841_14145FDE0ACC_.wvu.Cols" localSheetId="1" hidden="1">Workforce!$R:$X,Workforce!#REF!</definedName>
    <definedName name="Z_B02DF7EE_631E_654C_AE03_BBD09F9B2295_.wvu.Cols" localSheetId="7" hidden="1">Business!$T:$Z,Business!$AB:$AG</definedName>
    <definedName name="Z_B02DF7EE_631E_654C_AE03_BBD09F9B2295_.wvu.Cols" localSheetId="3" hidden="1">'Community Relations'!$P:$U,'Community Relations'!$W:$AC</definedName>
    <definedName name="Z_B02DF7EE_631E_654C_AE03_BBD09F9B2295_.wvu.Cols" localSheetId="4" hidden="1">'Energy and Emissions'!$M:$O,'Energy and Emissions'!$Q:$S</definedName>
    <definedName name="Z_B02DF7EE_631E_654C_AE03_BBD09F9B2295_.wvu.Cols" localSheetId="2" hidden="1">'Health and Safety'!$L:$O,'Health and Safety'!$Q:$S</definedName>
    <definedName name="Z_B02DF7EE_631E_654C_AE03_BBD09F9B2295_.wvu.Cols" localSheetId="6" hidden="1">'Tailings and Waste'!$M:$O,'Tailings and Waste'!#REF!</definedName>
    <definedName name="Z_B02DF7EE_631E_654C_AE03_BBD09F9B2295_.wvu.Cols" localSheetId="5" hidden="1">'Water and Biodiversity'!$O:$R,'Water and Biodiversity'!#REF!</definedName>
    <definedName name="Z_B02DF7EE_631E_654C_AE03_BBD09F9B2295_.wvu.Cols" localSheetId="1" hidden="1">Workforce!$R:$X,Workforce!#REF!</definedName>
    <definedName name="Z_EBE16B4E_4633_4E68_B5CD_BB74AE6E750E_.wvu.Cols" localSheetId="7" hidden="1">Business!$T:$Z,Business!$AB:$AG</definedName>
    <definedName name="Z_EBE16B4E_4633_4E68_B5CD_BB74AE6E750E_.wvu.Cols" localSheetId="3" hidden="1">'Community Relations'!$P:$U,'Community Relations'!$W:$AC</definedName>
    <definedName name="Z_EBE16B4E_4633_4E68_B5CD_BB74AE6E750E_.wvu.Cols" localSheetId="4" hidden="1">'Energy and Emissions'!$M:$O,'Energy and Emissions'!$Q:$S</definedName>
    <definedName name="Z_EBE16B4E_4633_4E68_B5CD_BB74AE6E750E_.wvu.Cols" localSheetId="2" hidden="1">'Health and Safety'!$L:$O,'Health and Safety'!$Q:$S</definedName>
    <definedName name="Z_EBE16B4E_4633_4E68_B5CD_BB74AE6E750E_.wvu.Cols" localSheetId="6" hidden="1">'Tailings and Waste'!$M:$O,'Tailings and Waste'!#REF!</definedName>
    <definedName name="Z_EBE16B4E_4633_4E68_B5CD_BB74AE6E750E_.wvu.Cols" localSheetId="5" hidden="1">'Water and Biodiversity'!$O:$R,'Water and Biodiversity'!#REF!</definedName>
    <definedName name="Z_EBE16B4E_4633_4E68_B5CD_BB74AE6E750E_.wvu.Cols" localSheetId="1" hidden="1">Workforce!$R:$X,Workforce!#REF!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6" l="1"/>
  <c r="H46" i="2" l="1"/>
  <c r="L46" i="2"/>
  <c r="P46" i="2"/>
  <c r="H47" i="2"/>
  <c r="L47" i="2"/>
  <c r="P47" i="2"/>
  <c r="H48" i="2"/>
  <c r="L48" i="2"/>
  <c r="L51" i="2" s="1"/>
  <c r="P48" i="2"/>
  <c r="H49" i="2"/>
  <c r="L49" i="2"/>
  <c r="P49" i="2"/>
  <c r="H50" i="2"/>
  <c r="L50" i="2"/>
  <c r="P50" i="2"/>
  <c r="E51" i="2"/>
  <c r="F51" i="2"/>
  <c r="G51" i="2"/>
  <c r="I51" i="2"/>
  <c r="J51" i="2"/>
  <c r="K51" i="2"/>
  <c r="M51" i="2"/>
  <c r="P51" i="2" s="1"/>
  <c r="N51" i="2"/>
  <c r="O51" i="2"/>
  <c r="H51" i="2" l="1"/>
  <c r="H60" i="2" s="1"/>
  <c r="L60" i="2" s="1"/>
  <c r="L68" i="8" l="1"/>
  <c r="H68" i="8"/>
  <c r="L67" i="8"/>
  <c r="H67" i="8"/>
  <c r="L66" i="8"/>
  <c r="H66" i="8"/>
  <c r="L65" i="8"/>
  <c r="H65" i="8"/>
  <c r="L64" i="8"/>
  <c r="H64" i="8"/>
  <c r="L63" i="8"/>
  <c r="H63" i="8"/>
  <c r="S57" i="8"/>
  <c r="S59" i="8" s="1"/>
  <c r="K57" i="8"/>
  <c r="G56" i="8"/>
  <c r="F56" i="8"/>
  <c r="E56" i="8"/>
  <c r="H55" i="8"/>
  <c r="H54" i="8"/>
  <c r="H53" i="8"/>
  <c r="H52" i="8"/>
  <c r="H51" i="8"/>
  <c r="H50" i="8"/>
  <c r="H56" i="8" s="1"/>
  <c r="S46" i="8"/>
  <c r="S47" i="8" s="1"/>
  <c r="R46" i="8"/>
  <c r="R47" i="8" s="1"/>
  <c r="Q46" i="8"/>
  <c r="Q47" i="8" s="1"/>
  <c r="O46" i="8"/>
  <c r="O57" i="8" s="1"/>
  <c r="N46" i="8"/>
  <c r="N47" i="8" s="1"/>
  <c r="M46" i="8"/>
  <c r="M47" i="8" s="1"/>
  <c r="K46" i="8"/>
  <c r="K47" i="8" s="1"/>
  <c r="J46" i="8"/>
  <c r="J47" i="8" s="1"/>
  <c r="I46" i="8"/>
  <c r="I47" i="8" s="1"/>
  <c r="G46" i="8"/>
  <c r="G47" i="8" s="1"/>
  <c r="F46" i="8"/>
  <c r="F47" i="8" s="1"/>
  <c r="E46" i="8"/>
  <c r="E47" i="8" s="1"/>
  <c r="T45" i="8"/>
  <c r="T46" i="8" s="1"/>
  <c r="P45" i="8"/>
  <c r="P46" i="8" s="1"/>
  <c r="L45" i="8"/>
  <c r="L46" i="8" s="1"/>
  <c r="H45" i="8"/>
  <c r="H46" i="8" s="1"/>
  <c r="S44" i="8"/>
  <c r="R44" i="8"/>
  <c r="Q44" i="8"/>
  <c r="O44" i="8"/>
  <c r="N44" i="8"/>
  <c r="N57" i="8" s="1"/>
  <c r="M44" i="8"/>
  <c r="M57" i="8" s="1"/>
  <c r="K44" i="8"/>
  <c r="J44" i="8"/>
  <c r="I44" i="8"/>
  <c r="G44" i="8"/>
  <c r="G57" i="8" s="1"/>
  <c r="F44" i="8"/>
  <c r="F57" i="8" s="1"/>
  <c r="E44" i="8"/>
  <c r="E57" i="8" s="1"/>
  <c r="T43" i="8"/>
  <c r="P43" i="8"/>
  <c r="L43" i="8"/>
  <c r="H43" i="8"/>
  <c r="T42" i="8"/>
  <c r="P42" i="8"/>
  <c r="L42" i="8"/>
  <c r="H42" i="8"/>
  <c r="T41" i="8"/>
  <c r="P41" i="8"/>
  <c r="L41" i="8"/>
  <c r="H41" i="8"/>
  <c r="T40" i="8"/>
  <c r="P40" i="8"/>
  <c r="L40" i="8"/>
  <c r="H40" i="8"/>
  <c r="T39" i="8"/>
  <c r="P39" i="8"/>
  <c r="L39" i="8"/>
  <c r="H39" i="8"/>
  <c r="T38" i="8"/>
  <c r="P38" i="8"/>
  <c r="L38" i="8"/>
  <c r="H38" i="8"/>
  <c r="T37" i="8"/>
  <c r="T44" i="8" s="1"/>
  <c r="P37" i="8"/>
  <c r="L37" i="8"/>
  <c r="H37" i="8"/>
  <c r="T36" i="8"/>
  <c r="P36" i="8"/>
  <c r="P44" i="8" s="1"/>
  <c r="L36" i="8"/>
  <c r="L44" i="8" s="1"/>
  <c r="H36" i="8"/>
  <c r="H44" i="8" s="1"/>
  <c r="H57" i="8" s="1"/>
  <c r="O33" i="8"/>
  <c r="N33" i="8"/>
  <c r="M33" i="8"/>
  <c r="G33" i="8"/>
  <c r="F33" i="8"/>
  <c r="E33" i="8"/>
  <c r="O32" i="8"/>
  <c r="N32" i="8"/>
  <c r="M32" i="8"/>
  <c r="E32" i="8"/>
  <c r="S31" i="8"/>
  <c r="Q31" i="8"/>
  <c r="O31" i="8"/>
  <c r="M31" i="8"/>
  <c r="E31" i="8"/>
  <c r="S30" i="8"/>
  <c r="S33" i="8" s="1"/>
  <c r="R30" i="8"/>
  <c r="R33" i="8" s="1"/>
  <c r="Q30" i="8"/>
  <c r="Q33" i="8" s="1"/>
  <c r="O30" i="8"/>
  <c r="N30" i="8"/>
  <c r="N31" i="8" s="1"/>
  <c r="M30" i="8"/>
  <c r="K30" i="8"/>
  <c r="K33" i="8" s="1"/>
  <c r="J30" i="8"/>
  <c r="J33" i="8" s="1"/>
  <c r="I30" i="8"/>
  <c r="I32" i="8" s="1"/>
  <c r="H30" i="8"/>
  <c r="H32" i="8" s="1"/>
  <c r="G30" i="8"/>
  <c r="F30" i="8"/>
  <c r="F31" i="8" s="1"/>
  <c r="E30" i="8"/>
  <c r="T29" i="8"/>
  <c r="P29" i="8"/>
  <c r="L29" i="8"/>
  <c r="H29" i="8"/>
  <c r="T28" i="8"/>
  <c r="P28" i="8"/>
  <c r="L28" i="8"/>
  <c r="H28" i="8"/>
  <c r="T27" i="8"/>
  <c r="P27" i="8"/>
  <c r="L27" i="8"/>
  <c r="H27" i="8"/>
  <c r="T26" i="8"/>
  <c r="P26" i="8"/>
  <c r="L26" i="8"/>
  <c r="H26" i="8"/>
  <c r="T25" i="8"/>
  <c r="P25" i="8"/>
  <c r="L25" i="8"/>
  <c r="H25" i="8"/>
  <c r="T24" i="8"/>
  <c r="P24" i="8"/>
  <c r="L24" i="8"/>
  <c r="H24" i="8"/>
  <c r="T23" i="8"/>
  <c r="P23" i="8"/>
  <c r="P30" i="8" s="1"/>
  <c r="L23" i="8"/>
  <c r="L30" i="8" s="1"/>
  <c r="H23" i="8"/>
  <c r="T22" i="8"/>
  <c r="T30" i="8" s="1"/>
  <c r="P22" i="8"/>
  <c r="L22" i="8"/>
  <c r="H22" i="8"/>
  <c r="H33" i="8" s="1"/>
  <c r="T19" i="8"/>
  <c r="P19" i="8"/>
  <c r="L19" i="8"/>
  <c r="H19" i="8"/>
  <c r="T18" i="8"/>
  <c r="P18" i="8"/>
  <c r="L18" i="8"/>
  <c r="H18" i="8"/>
  <c r="T17" i="8"/>
  <c r="P17" i="8"/>
  <c r="L17" i="8"/>
  <c r="H17" i="8"/>
  <c r="T16" i="8"/>
  <c r="P16" i="8"/>
  <c r="L16" i="8"/>
  <c r="H16" i="8"/>
  <c r="T15" i="8"/>
  <c r="P15" i="8"/>
  <c r="L15" i="8"/>
  <c r="H15" i="8"/>
  <c r="T14" i="8"/>
  <c r="P14" i="8"/>
  <c r="L14" i="8"/>
  <c r="H14" i="8"/>
  <c r="T13" i="8"/>
  <c r="P13" i="8"/>
  <c r="L13" i="8"/>
  <c r="H13" i="8"/>
  <c r="T12" i="8"/>
  <c r="P12" i="8"/>
  <c r="L12" i="8"/>
  <c r="H12" i="8"/>
  <c r="T11" i="8"/>
  <c r="P11" i="8"/>
  <c r="L11" i="8"/>
  <c r="H11" i="8"/>
  <c r="T31" i="8" l="1"/>
  <c r="T32" i="8"/>
  <c r="N59" i="8"/>
  <c r="N58" i="8"/>
  <c r="T47" i="8"/>
  <c r="T57" i="8"/>
  <c r="N48" i="8"/>
  <c r="N49" i="8"/>
  <c r="H58" i="8"/>
  <c r="H59" i="8"/>
  <c r="E58" i="8"/>
  <c r="E59" i="8"/>
  <c r="E48" i="8"/>
  <c r="E49" i="8"/>
  <c r="O58" i="8"/>
  <c r="O59" i="8"/>
  <c r="Q49" i="8"/>
  <c r="Q48" i="8"/>
  <c r="I49" i="8"/>
  <c r="I48" i="8"/>
  <c r="S48" i="8"/>
  <c r="S49" i="8"/>
  <c r="H47" i="8"/>
  <c r="J48" i="8"/>
  <c r="J49" i="8"/>
  <c r="F48" i="8"/>
  <c r="F49" i="8"/>
  <c r="P31" i="8"/>
  <c r="P33" i="8"/>
  <c r="P32" i="8"/>
  <c r="L47" i="8"/>
  <c r="L57" i="8"/>
  <c r="L31" i="8"/>
  <c r="L33" i="8"/>
  <c r="L32" i="8"/>
  <c r="F58" i="8"/>
  <c r="F59" i="8"/>
  <c r="R49" i="8"/>
  <c r="R48" i="8"/>
  <c r="M58" i="8"/>
  <c r="M59" i="8"/>
  <c r="P57" i="8"/>
  <c r="P47" i="8"/>
  <c r="M49" i="8"/>
  <c r="M48" i="8"/>
  <c r="H31" i="8"/>
  <c r="J32" i="8"/>
  <c r="S32" i="8"/>
  <c r="O47" i="8"/>
  <c r="I57" i="8"/>
  <c r="Q57" i="8"/>
  <c r="S58" i="8"/>
  <c r="I31" i="8"/>
  <c r="R31" i="8"/>
  <c r="T33" i="8"/>
  <c r="J57" i="8"/>
  <c r="R57" i="8"/>
  <c r="J31" i="8"/>
  <c r="F32" i="8"/>
  <c r="Q32" i="8"/>
  <c r="I33" i="8"/>
  <c r="R32" i="8"/>
  <c r="H49" i="8" l="1"/>
  <c r="H48" i="8"/>
  <c r="T59" i="8"/>
  <c r="T58" i="8"/>
  <c r="Q58" i="8"/>
  <c r="Q59" i="8"/>
  <c r="L49" i="8"/>
  <c r="L48" i="8"/>
  <c r="T48" i="8"/>
  <c r="T49" i="8"/>
  <c r="I58" i="8"/>
  <c r="I59" i="8"/>
  <c r="J59" i="8"/>
  <c r="J58" i="8"/>
  <c r="L59" i="8"/>
  <c r="L58" i="8"/>
  <c r="P48" i="8"/>
  <c r="P49" i="8"/>
  <c r="P58" i="8"/>
  <c r="P59" i="8"/>
  <c r="R58" i="8"/>
  <c r="R59" i="8"/>
  <c r="O48" i="8"/>
  <c r="O49" i="8"/>
  <c r="AD39" i="7" l="1"/>
  <c r="Q39" i="7"/>
  <c r="P39" i="7"/>
  <c r="V39" i="7" s="1"/>
  <c r="N39" i="7"/>
  <c r="M39" i="7"/>
  <c r="L39" i="7"/>
  <c r="K39" i="7"/>
  <c r="J39" i="7"/>
  <c r="H39" i="7"/>
  <c r="G39" i="7"/>
  <c r="F39" i="7"/>
  <c r="E39" i="7"/>
  <c r="AD38" i="7"/>
  <c r="V38" i="7"/>
  <c r="O38" i="7"/>
  <c r="D38" i="7"/>
  <c r="I38" i="7" s="1"/>
  <c r="AD37" i="7"/>
  <c r="V37" i="7"/>
  <c r="O37" i="7"/>
  <c r="I37" i="7"/>
  <c r="AD36" i="7"/>
  <c r="V36" i="7"/>
  <c r="O36" i="7"/>
  <c r="I36" i="7"/>
  <c r="X32" i="7"/>
  <c r="AD32" i="7" s="1"/>
  <c r="V32" i="7"/>
  <c r="N32" i="7"/>
  <c r="M32" i="7"/>
  <c r="L32" i="7"/>
  <c r="K32" i="7"/>
  <c r="J32" i="7"/>
  <c r="O32" i="7" s="1"/>
  <c r="O34" i="7" s="1"/>
  <c r="H32" i="7"/>
  <c r="G32" i="7"/>
  <c r="F32" i="7"/>
  <c r="D32" i="7"/>
  <c r="K31" i="7"/>
  <c r="O31" i="7" s="1"/>
  <c r="E31" i="7"/>
  <c r="I31" i="7" s="1"/>
  <c r="K30" i="7"/>
  <c r="O30" i="7" s="1"/>
  <c r="E30" i="7"/>
  <c r="AD27" i="7"/>
  <c r="V27" i="7"/>
  <c r="O27" i="7"/>
  <c r="I27" i="7"/>
  <c r="Z26" i="7"/>
  <c r="X26" i="7"/>
  <c r="W26" i="7"/>
  <c r="S26" i="7"/>
  <c r="Q26" i="7"/>
  <c r="P26" i="7"/>
  <c r="L26" i="7"/>
  <c r="K26" i="7"/>
  <c r="J26" i="7"/>
  <c r="F26" i="7"/>
  <c r="D26" i="7"/>
  <c r="AD25" i="7"/>
  <c r="V25" i="7"/>
  <c r="O25" i="7"/>
  <c r="I25" i="7"/>
  <c r="AD24" i="7"/>
  <c r="V24" i="7"/>
  <c r="V26" i="7" s="1"/>
  <c r="O24" i="7"/>
  <c r="I24" i="7"/>
  <c r="AD23" i="7"/>
  <c r="V23" i="7"/>
  <c r="O23" i="7"/>
  <c r="E23" i="7"/>
  <c r="E26" i="7" s="1"/>
  <c r="AC20" i="7"/>
  <c r="AB20" i="7"/>
  <c r="AA20" i="7"/>
  <c r="Z20" i="7"/>
  <c r="Y20" i="7"/>
  <c r="X20" i="7"/>
  <c r="W20" i="7"/>
  <c r="V20" i="7"/>
  <c r="U20" i="7"/>
  <c r="T20" i="7"/>
  <c r="S20" i="7"/>
  <c r="R20" i="7"/>
  <c r="Q20" i="7"/>
  <c r="P20" i="7"/>
  <c r="N20" i="7"/>
  <c r="M20" i="7"/>
  <c r="L20" i="7"/>
  <c r="K20" i="7"/>
  <c r="J20" i="7"/>
  <c r="H20" i="7"/>
  <c r="AD19" i="7"/>
  <c r="O19" i="7"/>
  <c r="AD18" i="7"/>
  <c r="AD20" i="7" s="1"/>
  <c r="O18" i="7"/>
  <c r="O20" i="7" s="1"/>
  <c r="F20" i="7"/>
  <c r="E20" i="7"/>
  <c r="D20" i="7"/>
  <c r="AC15" i="7"/>
  <c r="AB15" i="7"/>
  <c r="AA15" i="7"/>
  <c r="Z15" i="7"/>
  <c r="Y15" i="7"/>
  <c r="X15" i="7"/>
  <c r="W15" i="7"/>
  <c r="U15" i="7"/>
  <c r="T15" i="7"/>
  <c r="S15" i="7"/>
  <c r="R15" i="7"/>
  <c r="Q15" i="7"/>
  <c r="P15" i="7"/>
  <c r="N15" i="7"/>
  <c r="M15" i="7"/>
  <c r="L15" i="7"/>
  <c r="K15" i="7"/>
  <c r="J15" i="7"/>
  <c r="AD14" i="7"/>
  <c r="V14" i="7"/>
  <c r="O14" i="7"/>
  <c r="H15" i="7"/>
  <c r="I14" i="7"/>
  <c r="AD13" i="7"/>
  <c r="V13" i="7"/>
  <c r="O13" i="7"/>
  <c r="AD12" i="7"/>
  <c r="V12" i="7"/>
  <c r="O12" i="7"/>
  <c r="I12" i="7"/>
  <c r="AD11" i="7"/>
  <c r="AD15" i="7" s="1"/>
  <c r="V11" i="7"/>
  <c r="O11" i="7"/>
  <c r="I11" i="7"/>
  <c r="O39" i="7" l="1"/>
  <c r="O26" i="7"/>
  <c r="O15" i="7"/>
  <c r="V15" i="7"/>
  <c r="AD26" i="7"/>
  <c r="E32" i="7"/>
  <c r="I32" i="7" s="1"/>
  <c r="I34" i="7" s="1"/>
  <c r="G20" i="7"/>
  <c r="E15" i="7"/>
  <c r="I23" i="7"/>
  <c r="I26" i="7" s="1"/>
  <c r="D39" i="7"/>
  <c r="I39" i="7" s="1"/>
  <c r="I30" i="7"/>
  <c r="I13" i="7"/>
  <c r="D15" i="7"/>
  <c r="I18" i="7"/>
  <c r="G15" i="7"/>
  <c r="I19" i="7" l="1"/>
  <c r="D16" i="7"/>
  <c r="F15" i="7"/>
  <c r="I15" i="7" s="1"/>
  <c r="I20" i="7"/>
  <c r="H50" i="6" l="1"/>
  <c r="H49" i="6"/>
  <c r="E49" i="6"/>
  <c r="S48" i="6"/>
  <c r="J48" i="6"/>
  <c r="M47" i="6"/>
  <c r="L47" i="6"/>
  <c r="S46" i="6"/>
  <c r="R46" i="6"/>
  <c r="Q46" i="6"/>
  <c r="P46" i="6"/>
  <c r="O46" i="6"/>
  <c r="N46" i="6"/>
  <c r="M46" i="6"/>
  <c r="L46" i="6"/>
  <c r="J46" i="6"/>
  <c r="I46" i="6"/>
  <c r="H46" i="6"/>
  <c r="F46" i="6"/>
  <c r="E46" i="6"/>
  <c r="D46" i="6"/>
  <c r="S45" i="6"/>
  <c r="S47" i="6" s="1"/>
  <c r="R45" i="6"/>
  <c r="Q45" i="6"/>
  <c r="T45" i="6" s="1"/>
  <c r="O45" i="6"/>
  <c r="N45" i="6"/>
  <c r="M45" i="6"/>
  <c r="L45" i="6"/>
  <c r="J45" i="6"/>
  <c r="I45" i="6"/>
  <c r="H45" i="6"/>
  <c r="F45" i="6"/>
  <c r="E45" i="6"/>
  <c r="D45" i="6"/>
  <c r="D48" i="6" s="1"/>
  <c r="S44" i="6"/>
  <c r="S49" i="6" s="1"/>
  <c r="R44" i="6"/>
  <c r="R49" i="6" s="1"/>
  <c r="Q44" i="6"/>
  <c r="O44" i="6"/>
  <c r="N44" i="6"/>
  <c r="M44" i="6"/>
  <c r="M49" i="6" s="1"/>
  <c r="L44" i="6"/>
  <c r="J44" i="6"/>
  <c r="J49" i="6" s="1"/>
  <c r="I44" i="6"/>
  <c r="I49" i="6" s="1"/>
  <c r="H44" i="6"/>
  <c r="F44" i="6"/>
  <c r="F49" i="6" s="1"/>
  <c r="E44" i="6"/>
  <c r="D44" i="6"/>
  <c r="T43" i="6"/>
  <c r="O43" i="6"/>
  <c r="M43" i="6"/>
  <c r="L43" i="6"/>
  <c r="J43" i="6"/>
  <c r="I43" i="6"/>
  <c r="H43" i="6"/>
  <c r="F43" i="6"/>
  <c r="E43" i="6"/>
  <c r="D43" i="6"/>
  <c r="S42" i="6"/>
  <c r="S50" i="6" s="1"/>
  <c r="R42" i="6"/>
  <c r="R50" i="6" s="1"/>
  <c r="Q42" i="6"/>
  <c r="O42" i="6"/>
  <c r="O50" i="6" s="1"/>
  <c r="N42" i="6"/>
  <c r="M42" i="6"/>
  <c r="L42" i="6"/>
  <c r="J42" i="6"/>
  <c r="J50" i="6" s="1"/>
  <c r="I42" i="6"/>
  <c r="I50" i="6" s="1"/>
  <c r="H42" i="6"/>
  <c r="F42" i="6"/>
  <c r="F50" i="6" s="1"/>
  <c r="E42" i="6"/>
  <c r="D42" i="6"/>
  <c r="S41" i="6"/>
  <c r="R41" i="6"/>
  <c r="Q41" i="6"/>
  <c r="T41" i="6" s="1"/>
  <c r="O41" i="6"/>
  <c r="N41" i="6"/>
  <c r="M41" i="6"/>
  <c r="L41" i="6"/>
  <c r="J41" i="6"/>
  <c r="I41" i="6"/>
  <c r="H41" i="6"/>
  <c r="G41" i="6"/>
  <c r="F41" i="6"/>
  <c r="E41" i="6"/>
  <c r="S40" i="6"/>
  <c r="R40" i="6"/>
  <c r="R48" i="6" s="1"/>
  <c r="Q40" i="6"/>
  <c r="T40" i="6" s="1"/>
  <c r="T48" i="6" s="1"/>
  <c r="O40" i="6"/>
  <c r="O48" i="6" s="1"/>
  <c r="N40" i="6"/>
  <c r="N48" i="6" s="1"/>
  <c r="M40" i="6"/>
  <c r="M48" i="6" s="1"/>
  <c r="L40" i="6"/>
  <c r="L48" i="6" s="1"/>
  <c r="J40" i="6"/>
  <c r="I40" i="6"/>
  <c r="I48" i="6" s="1"/>
  <c r="H40" i="6"/>
  <c r="H48" i="6" s="1"/>
  <c r="F40" i="6"/>
  <c r="F48" i="6" s="1"/>
  <c r="E40" i="6"/>
  <c r="E48" i="6" s="1"/>
  <c r="D40" i="6"/>
  <c r="R39" i="6"/>
  <c r="R47" i="6" s="1"/>
  <c r="Q39" i="6"/>
  <c r="O39" i="6"/>
  <c r="O47" i="6" s="1"/>
  <c r="N39" i="6"/>
  <c r="M39" i="6"/>
  <c r="L39" i="6"/>
  <c r="J39" i="6"/>
  <c r="J47" i="6" s="1"/>
  <c r="I39" i="6"/>
  <c r="I47" i="6" s="1"/>
  <c r="H39" i="6"/>
  <c r="H47" i="6" s="1"/>
  <c r="F39" i="6"/>
  <c r="E39" i="6"/>
  <c r="E47" i="6" s="1"/>
  <c r="D39" i="6"/>
  <c r="D47" i="6" s="1"/>
  <c r="S36" i="6"/>
  <c r="R36" i="6"/>
  <c r="Q36" i="6"/>
  <c r="O36" i="6"/>
  <c r="N36" i="6"/>
  <c r="M36" i="6"/>
  <c r="L36" i="6"/>
  <c r="J36" i="6"/>
  <c r="I36" i="6"/>
  <c r="H36" i="6"/>
  <c r="F36" i="6"/>
  <c r="E36" i="6"/>
  <c r="D36" i="6"/>
  <c r="S35" i="6"/>
  <c r="R35" i="6"/>
  <c r="Q35" i="6"/>
  <c r="O35" i="6"/>
  <c r="N35" i="6"/>
  <c r="M35" i="6"/>
  <c r="L35" i="6"/>
  <c r="J35" i="6"/>
  <c r="I35" i="6"/>
  <c r="H35" i="6"/>
  <c r="F35" i="6"/>
  <c r="E35" i="6"/>
  <c r="D35" i="6"/>
  <c r="S34" i="6"/>
  <c r="R34" i="6"/>
  <c r="Q34" i="6"/>
  <c r="O34" i="6"/>
  <c r="N34" i="6"/>
  <c r="M34" i="6"/>
  <c r="L34" i="6"/>
  <c r="J34" i="6"/>
  <c r="I34" i="6"/>
  <c r="H34" i="6"/>
  <c r="F34" i="6"/>
  <c r="E34" i="6"/>
  <c r="D34" i="6"/>
  <c r="T33" i="6"/>
  <c r="S33" i="6"/>
  <c r="R33" i="6"/>
  <c r="Q33" i="6"/>
  <c r="O33" i="6"/>
  <c r="N33" i="6"/>
  <c r="M33" i="6"/>
  <c r="L33" i="6"/>
  <c r="K33" i="6"/>
  <c r="J33" i="6"/>
  <c r="I33" i="6"/>
  <c r="H33" i="6"/>
  <c r="F33" i="6"/>
  <c r="E33" i="6"/>
  <c r="D33" i="6"/>
  <c r="T32" i="6"/>
  <c r="T46" i="6" s="1"/>
  <c r="K32" i="6"/>
  <c r="K46" i="6" s="1"/>
  <c r="G32" i="6"/>
  <c r="T31" i="6"/>
  <c r="P31" i="6"/>
  <c r="K31" i="6"/>
  <c r="G31" i="6"/>
  <c r="T30" i="6"/>
  <c r="T35" i="6" s="1"/>
  <c r="P30" i="6"/>
  <c r="P35" i="6" s="1"/>
  <c r="K30" i="6"/>
  <c r="K35" i="6" s="1"/>
  <c r="G30" i="6"/>
  <c r="T29" i="6"/>
  <c r="P29" i="6"/>
  <c r="K29" i="6"/>
  <c r="G29" i="6"/>
  <c r="T28" i="6"/>
  <c r="T36" i="6" s="1"/>
  <c r="P28" i="6"/>
  <c r="P36" i="6" s="1"/>
  <c r="K28" i="6"/>
  <c r="G28" i="6"/>
  <c r="T27" i="6"/>
  <c r="P27" i="6"/>
  <c r="K27" i="6"/>
  <c r="G27" i="6"/>
  <c r="T26" i="6"/>
  <c r="T34" i="6" s="1"/>
  <c r="P26" i="6"/>
  <c r="P34" i="6" s="1"/>
  <c r="K26" i="6"/>
  <c r="K34" i="6" s="1"/>
  <c r="G26" i="6"/>
  <c r="T25" i="6"/>
  <c r="P25" i="6"/>
  <c r="P33" i="6" s="1"/>
  <c r="K25" i="6"/>
  <c r="G25" i="6"/>
  <c r="G33" i="6" s="1"/>
  <c r="T22" i="6"/>
  <c r="S22" i="6"/>
  <c r="R22" i="6"/>
  <c r="Q22" i="6"/>
  <c r="O22" i="6"/>
  <c r="N22" i="6"/>
  <c r="M22" i="6"/>
  <c r="L22" i="6"/>
  <c r="J22" i="6"/>
  <c r="I22" i="6"/>
  <c r="H22" i="6"/>
  <c r="F22" i="6"/>
  <c r="E22" i="6"/>
  <c r="D22" i="6"/>
  <c r="T21" i="6"/>
  <c r="S21" i="6"/>
  <c r="R21" i="6"/>
  <c r="Q21" i="6"/>
  <c r="O21" i="6"/>
  <c r="N21" i="6"/>
  <c r="M21" i="6"/>
  <c r="L21" i="6"/>
  <c r="J21" i="6"/>
  <c r="I21" i="6"/>
  <c r="H21" i="6"/>
  <c r="F21" i="6"/>
  <c r="E21" i="6"/>
  <c r="D21" i="6"/>
  <c r="S20" i="6"/>
  <c r="R20" i="6"/>
  <c r="Q20" i="6"/>
  <c r="O20" i="6"/>
  <c r="N20" i="6"/>
  <c r="M20" i="6"/>
  <c r="L20" i="6"/>
  <c r="J20" i="6"/>
  <c r="I20" i="6"/>
  <c r="H20" i="6"/>
  <c r="F20" i="6"/>
  <c r="E20" i="6"/>
  <c r="D20" i="6"/>
  <c r="S19" i="6"/>
  <c r="R19" i="6"/>
  <c r="Q19" i="6"/>
  <c r="O19" i="6"/>
  <c r="N19" i="6"/>
  <c r="M19" i="6"/>
  <c r="L19" i="6"/>
  <c r="J19" i="6"/>
  <c r="I19" i="6"/>
  <c r="H19" i="6"/>
  <c r="F19" i="6"/>
  <c r="E19" i="6"/>
  <c r="D19" i="6"/>
  <c r="T18" i="6"/>
  <c r="K18" i="6"/>
  <c r="G18" i="6"/>
  <c r="G46" i="6" s="1"/>
  <c r="T17" i="6"/>
  <c r="P17" i="6"/>
  <c r="K17" i="6"/>
  <c r="G17" i="6"/>
  <c r="G45" i="6" s="1"/>
  <c r="T16" i="6"/>
  <c r="P16" i="6"/>
  <c r="P21" i="6" s="1"/>
  <c r="K16" i="6"/>
  <c r="G16" i="6"/>
  <c r="G21" i="6" s="1"/>
  <c r="T15" i="6"/>
  <c r="P15" i="6"/>
  <c r="K15" i="6"/>
  <c r="G15" i="6"/>
  <c r="T14" i="6"/>
  <c r="P14" i="6"/>
  <c r="P22" i="6" s="1"/>
  <c r="K14" i="6"/>
  <c r="G14" i="6"/>
  <c r="G22" i="6" s="1"/>
  <c r="T13" i="6"/>
  <c r="P13" i="6"/>
  <c r="K13" i="6"/>
  <c r="G13" i="6"/>
  <c r="T12" i="6"/>
  <c r="T20" i="6" s="1"/>
  <c r="P12" i="6"/>
  <c r="K12" i="6"/>
  <c r="K20" i="6" s="1"/>
  <c r="G12" i="6"/>
  <c r="G20" i="6" s="1"/>
  <c r="T11" i="6"/>
  <c r="T19" i="6" s="1"/>
  <c r="P11" i="6"/>
  <c r="P19" i="6" s="1"/>
  <c r="K11" i="6"/>
  <c r="K19" i="6" s="1"/>
  <c r="G11" i="6"/>
  <c r="G19" i="6" s="1"/>
  <c r="K42" i="6" l="1"/>
  <c r="L49" i="6"/>
  <c r="P45" i="6"/>
  <c r="G43" i="6"/>
  <c r="D50" i="6"/>
  <c r="M50" i="6"/>
  <c r="D49" i="6"/>
  <c r="F47" i="6"/>
  <c r="G40" i="6"/>
  <c r="G48" i="6" s="1"/>
  <c r="N50" i="6"/>
  <c r="K45" i="6"/>
  <c r="K49" i="6" s="1"/>
  <c r="G39" i="6"/>
  <c r="G47" i="6" s="1"/>
  <c r="Q47" i="6"/>
  <c r="P44" i="6"/>
  <c r="P49" i="6" s="1"/>
  <c r="L50" i="6"/>
  <c r="K36" i="6"/>
  <c r="N49" i="6"/>
  <c r="K43" i="6"/>
  <c r="P41" i="6"/>
  <c r="G42" i="6"/>
  <c r="G50" i="6" s="1"/>
  <c r="T42" i="6"/>
  <c r="T50" i="6" s="1"/>
  <c r="G44" i="6"/>
  <c r="G49" i="6" s="1"/>
  <c r="T44" i="6"/>
  <c r="T49" i="6" s="1"/>
  <c r="Q49" i="6"/>
  <c r="Q50" i="6"/>
  <c r="K44" i="6"/>
  <c r="E50" i="6"/>
  <c r="K41" i="6"/>
  <c r="P20" i="6"/>
  <c r="G34" i="6"/>
  <c r="G36" i="6"/>
  <c r="G35" i="6"/>
  <c r="P43" i="6"/>
  <c r="K50" i="6"/>
  <c r="K21" i="6"/>
  <c r="Q48" i="6"/>
  <c r="O49" i="6"/>
  <c r="K22" i="6"/>
  <c r="P40" i="6"/>
  <c r="P48" i="6" s="1"/>
  <c r="K39" i="6"/>
  <c r="T39" i="6"/>
  <c r="T47" i="6" s="1"/>
  <c r="K40" i="6"/>
  <c r="K48" i="6" s="1"/>
  <c r="P39" i="6"/>
  <c r="P47" i="6" s="1"/>
  <c r="N47" i="6"/>
  <c r="P42" i="6"/>
  <c r="P50" i="6" s="1"/>
  <c r="S65" i="5"/>
  <c r="K65" i="5"/>
  <c r="S64" i="5"/>
  <c r="K64" i="5"/>
  <c r="S63" i="5"/>
  <c r="K63" i="5"/>
  <c r="AH59" i="5"/>
  <c r="AA59" i="5"/>
  <c r="S59" i="5"/>
  <c r="K59" i="5"/>
  <c r="AF56" i="5"/>
  <c r="AE56" i="5"/>
  <c r="AD56" i="5"/>
  <c r="AC56" i="5"/>
  <c r="AB56" i="5"/>
  <c r="AH56" i="5" s="1"/>
  <c r="Y56" i="5"/>
  <c r="X56" i="5"/>
  <c r="W56" i="5"/>
  <c r="V56" i="5"/>
  <c r="U56" i="5"/>
  <c r="T56" i="5"/>
  <c r="Q56" i="5"/>
  <c r="P56" i="5"/>
  <c r="O56" i="5"/>
  <c r="N56" i="5"/>
  <c r="M56" i="5"/>
  <c r="L56" i="5"/>
  <c r="S56" i="5" s="1"/>
  <c r="AH55" i="5"/>
  <c r="S55" i="5"/>
  <c r="H55" i="5"/>
  <c r="G55" i="5"/>
  <c r="G40" i="5" s="1"/>
  <c r="E55" i="5"/>
  <c r="D55" i="5"/>
  <c r="D40" i="5" s="1"/>
  <c r="AH54" i="5"/>
  <c r="S54" i="5"/>
  <c r="K54" i="5"/>
  <c r="I54" i="5"/>
  <c r="H54" i="5"/>
  <c r="G54" i="5"/>
  <c r="F54" i="5"/>
  <c r="E54" i="5"/>
  <c r="D54" i="5"/>
  <c r="AH53" i="5"/>
  <c r="AA53" i="5"/>
  <c r="AA56" i="5" s="1"/>
  <c r="S53" i="5"/>
  <c r="I53" i="5"/>
  <c r="I56" i="5" s="1"/>
  <c r="H53" i="5"/>
  <c r="H56" i="5" s="1"/>
  <c r="G53" i="5"/>
  <c r="G56" i="5" s="1"/>
  <c r="F53" i="5"/>
  <c r="F56" i="5" s="1"/>
  <c r="E53" i="5"/>
  <c r="E56" i="5" s="1"/>
  <c r="D53" i="5"/>
  <c r="K53" i="5" s="1"/>
  <c r="AF50" i="5"/>
  <c r="AE50" i="5"/>
  <c r="AD50" i="5"/>
  <c r="AC50" i="5"/>
  <c r="AB50" i="5"/>
  <c r="AH50" i="5" s="1"/>
  <c r="AA50" i="5"/>
  <c r="Y50" i="5"/>
  <c r="X50" i="5"/>
  <c r="W50" i="5"/>
  <c r="V50" i="5"/>
  <c r="U50" i="5"/>
  <c r="T50" i="5"/>
  <c r="Q50" i="5"/>
  <c r="P50" i="5"/>
  <c r="S50" i="5" s="1"/>
  <c r="O50" i="5"/>
  <c r="N50" i="5"/>
  <c r="M50" i="5"/>
  <c r="L50" i="5"/>
  <c r="G50" i="5"/>
  <c r="F50" i="5"/>
  <c r="AH49" i="5"/>
  <c r="AA49" i="5"/>
  <c r="S49" i="5"/>
  <c r="H49" i="5"/>
  <c r="K49" i="5" s="1"/>
  <c r="E49" i="5"/>
  <c r="D49" i="5"/>
  <c r="AH48" i="5"/>
  <c r="AA48" i="5"/>
  <c r="S48" i="5"/>
  <c r="I48" i="5"/>
  <c r="I39" i="5" s="1"/>
  <c r="H48" i="5"/>
  <c r="H39" i="5" s="1"/>
  <c r="G48" i="5"/>
  <c r="F48" i="5"/>
  <c r="E48" i="5"/>
  <c r="D48" i="5"/>
  <c r="AH47" i="5"/>
  <c r="AA47" i="5"/>
  <c r="S47" i="5"/>
  <c r="K47" i="5"/>
  <c r="I47" i="5"/>
  <c r="H47" i="5"/>
  <c r="G47" i="5"/>
  <c r="E47" i="5"/>
  <c r="E50" i="5" s="1"/>
  <c r="D47" i="5"/>
  <c r="D38" i="5" s="1"/>
  <c r="AF41" i="5"/>
  <c r="AF42" i="5" s="1"/>
  <c r="W41" i="5"/>
  <c r="W42" i="5" s="1"/>
  <c r="N41" i="5"/>
  <c r="N42" i="5" s="1"/>
  <c r="AF40" i="5"/>
  <c r="AE40" i="5"/>
  <c r="AD40" i="5"/>
  <c r="AD44" i="5" s="1"/>
  <c r="AC40" i="5"/>
  <c r="AC44" i="5" s="1"/>
  <c r="AB40" i="5"/>
  <c r="AH40" i="5" s="1"/>
  <c r="AA40" i="5"/>
  <c r="Y40" i="5"/>
  <c r="X40" i="5"/>
  <c r="W40" i="5"/>
  <c r="V40" i="5"/>
  <c r="U40" i="5"/>
  <c r="T40" i="5"/>
  <c r="T44" i="5" s="1"/>
  <c r="Q40" i="5"/>
  <c r="S40" i="5" s="1"/>
  <c r="P40" i="5"/>
  <c r="O40" i="5"/>
  <c r="N40" i="5"/>
  <c r="M40" i="5"/>
  <c r="L40" i="5"/>
  <c r="I40" i="5"/>
  <c r="H40" i="5"/>
  <c r="F40" i="5"/>
  <c r="E40" i="5"/>
  <c r="AF39" i="5"/>
  <c r="AF43" i="5" s="1"/>
  <c r="AE39" i="5"/>
  <c r="AD39" i="5"/>
  <c r="AH39" i="5" s="1"/>
  <c r="AC39" i="5"/>
  <c r="AB39" i="5"/>
  <c r="Y39" i="5"/>
  <c r="X39" i="5"/>
  <c r="W39" i="5"/>
  <c r="W43" i="5" s="1"/>
  <c r="V39" i="5"/>
  <c r="U39" i="5"/>
  <c r="AA39" i="5" s="1"/>
  <c r="T39" i="5"/>
  <c r="Q39" i="5"/>
  <c r="P39" i="5"/>
  <c r="O39" i="5"/>
  <c r="O43" i="5" s="1"/>
  <c r="N39" i="5"/>
  <c r="N43" i="5" s="1"/>
  <c r="M39" i="5"/>
  <c r="L39" i="5"/>
  <c r="S39" i="5" s="1"/>
  <c r="G39" i="5"/>
  <c r="F39" i="5"/>
  <c r="E39" i="5"/>
  <c r="D39" i="5"/>
  <c r="AH38" i="5"/>
  <c r="AF38" i="5"/>
  <c r="AE38" i="5"/>
  <c r="AD38" i="5"/>
  <c r="AD41" i="5" s="1"/>
  <c r="AD42" i="5" s="1"/>
  <c r="AC38" i="5"/>
  <c r="AC41" i="5" s="1"/>
  <c r="AB38" i="5"/>
  <c r="AB41" i="5" s="1"/>
  <c r="AB43" i="5" s="1"/>
  <c r="Y38" i="5"/>
  <c r="Y41" i="5" s="1"/>
  <c r="X38" i="5"/>
  <c r="AA38" i="5" s="1"/>
  <c r="W38" i="5"/>
  <c r="V38" i="5"/>
  <c r="U38" i="5"/>
  <c r="U41" i="5" s="1"/>
  <c r="U42" i="5" s="1"/>
  <c r="T38" i="5"/>
  <c r="T41" i="5" s="1"/>
  <c r="Q38" i="5"/>
  <c r="P38" i="5"/>
  <c r="O38" i="5"/>
  <c r="O41" i="5" s="1"/>
  <c r="O44" i="5" s="1"/>
  <c r="N38" i="5"/>
  <c r="M38" i="5"/>
  <c r="L38" i="5"/>
  <c r="L41" i="5" s="1"/>
  <c r="I38" i="5"/>
  <c r="I41" i="5" s="1"/>
  <c r="H38" i="5"/>
  <c r="G38" i="5"/>
  <c r="F38" i="5"/>
  <c r="F41" i="5" s="1"/>
  <c r="F44" i="5" s="1"/>
  <c r="AH35" i="5"/>
  <c r="AA35" i="5"/>
  <c r="S35" i="5"/>
  <c r="K35" i="5"/>
  <c r="AH34" i="5"/>
  <c r="AA34" i="5"/>
  <c r="S34" i="5"/>
  <c r="K34" i="5"/>
  <c r="AG30" i="5"/>
  <c r="AF30" i="5"/>
  <c r="AE30" i="5"/>
  <c r="AD30" i="5"/>
  <c r="Y30" i="5"/>
  <c r="X30" i="5"/>
  <c r="W30" i="5"/>
  <c r="V30" i="5"/>
  <c r="Q30" i="5"/>
  <c r="I30" i="5"/>
  <c r="H30" i="5"/>
  <c r="G30" i="5"/>
  <c r="F30" i="5"/>
  <c r="AG29" i="5"/>
  <c r="AF29" i="5"/>
  <c r="AE29" i="5"/>
  <c r="AD29" i="5"/>
  <c r="AC29" i="5"/>
  <c r="AC30" i="5" s="1"/>
  <c r="AB29" i="5"/>
  <c r="AB30" i="5" s="1"/>
  <c r="Z29" i="5"/>
  <c r="Z30" i="5" s="1"/>
  <c r="Y29" i="5"/>
  <c r="X29" i="5"/>
  <c r="W29" i="5"/>
  <c r="V29" i="5"/>
  <c r="U29" i="5"/>
  <c r="U30" i="5" s="1"/>
  <c r="T29" i="5"/>
  <c r="T30" i="5" s="1"/>
  <c r="R29" i="5"/>
  <c r="R30" i="5" s="1"/>
  <c r="Q29" i="5"/>
  <c r="I29" i="5"/>
  <c r="H29" i="5"/>
  <c r="G29" i="5"/>
  <c r="F29" i="5"/>
  <c r="E29" i="5"/>
  <c r="E30" i="5" s="1"/>
  <c r="D29" i="5"/>
  <c r="D30" i="5" s="1"/>
  <c r="AH28" i="5"/>
  <c r="AA28" i="5"/>
  <c r="AH27" i="5"/>
  <c r="AA27" i="5"/>
  <c r="S27" i="5"/>
  <c r="K27" i="5"/>
  <c r="AH26" i="5"/>
  <c r="AA26" i="5"/>
  <c r="S26" i="5"/>
  <c r="J26" i="5"/>
  <c r="K26" i="5" s="1"/>
  <c r="AH25" i="5"/>
  <c r="AA25" i="5"/>
  <c r="S25" i="5"/>
  <c r="K25" i="5"/>
  <c r="AH24" i="5"/>
  <c r="AA24" i="5"/>
  <c r="S24" i="5"/>
  <c r="K24" i="5"/>
  <c r="AH23" i="5"/>
  <c r="AA23" i="5"/>
  <c r="S23" i="5"/>
  <c r="K23" i="5"/>
  <c r="AH22" i="5"/>
  <c r="AA22" i="5"/>
  <c r="S22" i="5"/>
  <c r="J22" i="5"/>
  <c r="AH21" i="5"/>
  <c r="AA21" i="5"/>
  <c r="S21" i="5"/>
  <c r="K21" i="5"/>
  <c r="J21" i="5"/>
  <c r="AH20" i="5"/>
  <c r="AH29" i="5" s="1"/>
  <c r="AA20" i="5"/>
  <c r="S20" i="5"/>
  <c r="K20" i="5"/>
  <c r="AH18" i="5"/>
  <c r="AA18" i="5"/>
  <c r="S18" i="5"/>
  <c r="K18" i="5"/>
  <c r="AH14" i="5"/>
  <c r="AA14" i="5"/>
  <c r="S14" i="5"/>
  <c r="K14" i="5"/>
  <c r="AH13" i="5"/>
  <c r="AA13" i="5"/>
  <c r="S13" i="5"/>
  <c r="K13" i="5"/>
  <c r="AH12" i="5"/>
  <c r="AA12" i="5"/>
  <c r="S12" i="5"/>
  <c r="K12" i="5"/>
  <c r="AH11" i="5"/>
  <c r="AA11" i="5"/>
  <c r="S11" i="5"/>
  <c r="K11" i="5"/>
  <c r="K47" i="6" l="1"/>
  <c r="L42" i="5"/>
  <c r="AA30" i="5"/>
  <c r="H44" i="5"/>
  <c r="D43" i="5"/>
  <c r="U44" i="5"/>
  <c r="F43" i="5"/>
  <c r="AH43" i="5"/>
  <c r="M43" i="5"/>
  <c r="AH44" i="5"/>
  <c r="AH42" i="5"/>
  <c r="I44" i="5"/>
  <c r="Y43" i="5"/>
  <c r="Y44" i="5"/>
  <c r="L44" i="5"/>
  <c r="G41" i="5"/>
  <c r="G43" i="5" s="1"/>
  <c r="AC42" i="5"/>
  <c r="AC43" i="5"/>
  <c r="H43" i="5"/>
  <c r="K38" i="5"/>
  <c r="D41" i="5"/>
  <c r="AH30" i="5"/>
  <c r="T42" i="5"/>
  <c r="T43" i="5"/>
  <c r="V43" i="5"/>
  <c r="I43" i="5"/>
  <c r="K40" i="5"/>
  <c r="AF44" i="5"/>
  <c r="H50" i="5"/>
  <c r="I50" i="5"/>
  <c r="Q41" i="5"/>
  <c r="Q43" i="5" s="1"/>
  <c r="E38" i="5"/>
  <c r="K39" i="5"/>
  <c r="M41" i="5"/>
  <c r="V41" i="5"/>
  <c r="AE41" i="5"/>
  <c r="I42" i="5"/>
  <c r="AB42" i="5"/>
  <c r="K55" i="5"/>
  <c r="AH41" i="5"/>
  <c r="W44" i="5"/>
  <c r="D56" i="5"/>
  <c r="K56" i="5" s="1"/>
  <c r="S38" i="5"/>
  <c r="K22" i="5"/>
  <c r="F42" i="5"/>
  <c r="O42" i="5"/>
  <c r="X42" i="5"/>
  <c r="L43" i="5"/>
  <c r="U43" i="5"/>
  <c r="AD43" i="5"/>
  <c r="Q44" i="5"/>
  <c r="X41" i="5"/>
  <c r="X44" i="5" s="1"/>
  <c r="N44" i="5"/>
  <c r="P41" i="5"/>
  <c r="K48" i="5"/>
  <c r="H41" i="5"/>
  <c r="H42" i="5" s="1"/>
  <c r="Y42" i="5"/>
  <c r="AB44" i="5"/>
  <c r="D50" i="5"/>
  <c r="K50" i="5" s="1"/>
  <c r="AA29" i="5"/>
  <c r="K41" i="5" l="1"/>
  <c r="K44" i="5" s="1"/>
  <c r="P44" i="5"/>
  <c r="P43" i="5"/>
  <c r="K42" i="5"/>
  <c r="Q42" i="5"/>
  <c r="G44" i="5"/>
  <c r="AA41" i="5"/>
  <c r="D42" i="5"/>
  <c r="AE44" i="5"/>
  <c r="AE42" i="5"/>
  <c r="S42" i="5"/>
  <c r="V44" i="5"/>
  <c r="V42" i="5"/>
  <c r="M42" i="5"/>
  <c r="M44" i="5"/>
  <c r="AE43" i="5"/>
  <c r="S41" i="5"/>
  <c r="G42" i="5"/>
  <c r="K43" i="5"/>
  <c r="D44" i="5"/>
  <c r="P42" i="5"/>
  <c r="E41" i="5"/>
  <c r="E42" i="5"/>
  <c r="X43" i="5"/>
  <c r="S44" i="5" l="1"/>
  <c r="S43" i="5"/>
  <c r="E44" i="5"/>
  <c r="E43" i="5"/>
  <c r="AA42" i="5"/>
  <c r="AA43" i="5"/>
  <c r="AA44" i="5"/>
  <c r="S23" i="3" l="1"/>
  <c r="N23" i="3"/>
  <c r="I23" i="3"/>
  <c r="Q22" i="3"/>
  <c r="P22" i="3"/>
  <c r="O22" i="3"/>
  <c r="K22" i="3"/>
  <c r="J22" i="3"/>
  <c r="F22" i="3"/>
  <c r="E22" i="3"/>
  <c r="Q21" i="3"/>
  <c r="P21" i="3"/>
  <c r="O21" i="3"/>
  <c r="K21" i="3"/>
  <c r="J21" i="3"/>
  <c r="F21" i="3"/>
  <c r="E21" i="3"/>
  <c r="Q17" i="3"/>
  <c r="Q20" i="3" s="1"/>
  <c r="P17" i="3"/>
  <c r="P19" i="3" s="1"/>
  <c r="O17" i="3"/>
  <c r="O19" i="3" s="1"/>
  <c r="L17" i="3"/>
  <c r="K17" i="3"/>
  <c r="K18" i="3" s="1"/>
  <c r="J17" i="3"/>
  <c r="J18" i="3" s="1"/>
  <c r="G17" i="3"/>
  <c r="G18" i="3" s="1"/>
  <c r="F17" i="3"/>
  <c r="F20" i="3" s="1"/>
  <c r="E17" i="3"/>
  <c r="E20" i="3" s="1"/>
  <c r="S16" i="3"/>
  <c r="N16" i="3"/>
  <c r="I16" i="3"/>
  <c r="S15" i="3"/>
  <c r="N15" i="3"/>
  <c r="I15" i="3"/>
  <c r="S14" i="3"/>
  <c r="N14" i="3"/>
  <c r="I14" i="3"/>
  <c r="S13" i="3"/>
  <c r="N13" i="3"/>
  <c r="I13" i="3"/>
  <c r="S12" i="3"/>
  <c r="N12" i="3"/>
  <c r="I12" i="3"/>
  <c r="S11" i="3"/>
  <c r="N11" i="3"/>
  <c r="I11" i="3"/>
  <c r="H63" i="2"/>
  <c r="H62" i="2"/>
  <c r="O59" i="2"/>
  <c r="N59" i="2"/>
  <c r="M59" i="2"/>
  <c r="K59" i="2"/>
  <c r="J59" i="2"/>
  <c r="I59" i="2"/>
  <c r="P58" i="2"/>
  <c r="P57" i="2"/>
  <c r="L57" i="2"/>
  <c r="P56" i="2"/>
  <c r="L56" i="2"/>
  <c r="P55" i="2"/>
  <c r="L55" i="2"/>
  <c r="P54" i="2"/>
  <c r="L54" i="2"/>
  <c r="O43" i="2"/>
  <c r="N43" i="2"/>
  <c r="M43" i="2"/>
  <c r="J43" i="2"/>
  <c r="I43" i="2"/>
  <c r="P42" i="2"/>
  <c r="L42" i="2"/>
  <c r="H42" i="2"/>
  <c r="P41" i="2"/>
  <c r="L41" i="2"/>
  <c r="H41" i="2"/>
  <c r="P40" i="2"/>
  <c r="L40" i="2"/>
  <c r="F40" i="2"/>
  <c r="F43" i="2" s="1"/>
  <c r="P39" i="2"/>
  <c r="L39" i="2"/>
  <c r="E39" i="2"/>
  <c r="E38" i="2" s="1"/>
  <c r="P38" i="2"/>
  <c r="L38" i="2"/>
  <c r="O34" i="2"/>
  <c r="O35" i="2" s="1"/>
  <c r="N34" i="2"/>
  <c r="N35" i="2" s="1"/>
  <c r="M34" i="2"/>
  <c r="M35" i="2" s="1"/>
  <c r="K34" i="2"/>
  <c r="K35" i="2" s="1"/>
  <c r="I34" i="2"/>
  <c r="I35" i="2" s="1"/>
  <c r="G34" i="2"/>
  <c r="P33" i="2"/>
  <c r="J33" i="2"/>
  <c r="J34" i="2" s="1"/>
  <c r="J35" i="2" s="1"/>
  <c r="E33" i="2"/>
  <c r="E34" i="2" s="1"/>
  <c r="E35" i="2" s="1"/>
  <c r="P32" i="2"/>
  <c r="L32" i="2"/>
  <c r="H32" i="2"/>
  <c r="P31" i="2"/>
  <c r="L31" i="2"/>
  <c r="F31" i="2"/>
  <c r="H31" i="2" s="1"/>
  <c r="O24" i="2"/>
  <c r="O25" i="2" s="1"/>
  <c r="N24" i="2"/>
  <c r="N25" i="2" s="1"/>
  <c r="M24" i="2"/>
  <c r="M26" i="2" s="1"/>
  <c r="K24" i="2"/>
  <c r="J24" i="2"/>
  <c r="I24" i="2"/>
  <c r="I26" i="2" s="1"/>
  <c r="G24" i="2"/>
  <c r="P23" i="2"/>
  <c r="H23" i="2"/>
  <c r="P22" i="2"/>
  <c r="H22" i="2"/>
  <c r="P21" i="2"/>
  <c r="L21" i="2"/>
  <c r="H21" i="2"/>
  <c r="P20" i="2"/>
  <c r="L20" i="2"/>
  <c r="F20" i="2"/>
  <c r="H20" i="2" s="1"/>
  <c r="P19" i="2"/>
  <c r="L19" i="2"/>
  <c r="F19" i="2"/>
  <c r="H19" i="2" s="1"/>
  <c r="P18" i="2"/>
  <c r="L18" i="2"/>
  <c r="H18" i="2"/>
  <c r="P17" i="2"/>
  <c r="L17" i="2"/>
  <c r="F17" i="2"/>
  <c r="E17" i="2"/>
  <c r="I15" i="2"/>
  <c r="I14" i="2"/>
  <c r="O13" i="2"/>
  <c r="O14" i="2" s="1"/>
  <c r="N13" i="2"/>
  <c r="N15" i="2" s="1"/>
  <c r="M13" i="2"/>
  <c r="M14" i="2" s="1"/>
  <c r="K13" i="2"/>
  <c r="J13" i="2"/>
  <c r="J14" i="2" s="1"/>
  <c r="I13" i="2"/>
  <c r="G13" i="2"/>
  <c r="F13" i="2"/>
  <c r="F15" i="2" s="1"/>
  <c r="E13" i="2"/>
  <c r="E14" i="2" s="1"/>
  <c r="P12" i="2"/>
  <c r="L12" i="2"/>
  <c r="H12" i="2"/>
  <c r="P11" i="2"/>
  <c r="L11" i="2"/>
  <c r="H11" i="2"/>
  <c r="X174" i="1"/>
  <c r="W174" i="1"/>
  <c r="V174" i="1"/>
  <c r="T174" i="1"/>
  <c r="S174" i="1"/>
  <c r="R174" i="1"/>
  <c r="O174" i="1"/>
  <c r="N174" i="1"/>
  <c r="M174" i="1"/>
  <c r="L174" i="1"/>
  <c r="K174" i="1"/>
  <c r="H174" i="1"/>
  <c r="G174" i="1"/>
  <c r="F174" i="1"/>
  <c r="E174" i="1"/>
  <c r="D174" i="1"/>
  <c r="Y173" i="1"/>
  <c r="Q173" i="1"/>
  <c r="J173" i="1"/>
  <c r="Y172" i="1"/>
  <c r="Q172" i="1"/>
  <c r="J172" i="1"/>
  <c r="Y171" i="1"/>
  <c r="Q171" i="1"/>
  <c r="J171" i="1"/>
  <c r="Y170" i="1"/>
  <c r="Q170" i="1"/>
  <c r="J170" i="1"/>
  <c r="Y169" i="1"/>
  <c r="Q169" i="1"/>
  <c r="X166" i="1"/>
  <c r="W166" i="1"/>
  <c r="V166" i="1"/>
  <c r="U166" i="1"/>
  <c r="T166" i="1"/>
  <c r="S166" i="1"/>
  <c r="R166" i="1"/>
  <c r="P166" i="1"/>
  <c r="N166" i="1"/>
  <c r="M166" i="1"/>
  <c r="L166" i="1"/>
  <c r="K166" i="1"/>
  <c r="I166" i="1"/>
  <c r="H166" i="1"/>
  <c r="G166" i="1"/>
  <c r="F166" i="1"/>
  <c r="E166" i="1"/>
  <c r="D166" i="1"/>
  <c r="Q165" i="1"/>
  <c r="J165" i="1"/>
  <c r="Y164" i="1"/>
  <c r="Q164" i="1"/>
  <c r="J164" i="1"/>
  <c r="Y163" i="1"/>
  <c r="Q163" i="1"/>
  <c r="J163" i="1"/>
  <c r="X158" i="1"/>
  <c r="W158" i="1"/>
  <c r="V158" i="1"/>
  <c r="U158" i="1"/>
  <c r="T158" i="1"/>
  <c r="S158" i="1"/>
  <c r="R158" i="1"/>
  <c r="O158" i="1"/>
  <c r="H158" i="1"/>
  <c r="G158" i="1"/>
  <c r="F158" i="1"/>
  <c r="E158" i="1"/>
  <c r="D158" i="1"/>
  <c r="Y157" i="1"/>
  <c r="N157" i="1"/>
  <c r="M157" i="1"/>
  <c r="L157" i="1"/>
  <c r="K157" i="1"/>
  <c r="I157" i="1"/>
  <c r="J157" i="1" s="1"/>
  <c r="Y156" i="1"/>
  <c r="N156" i="1"/>
  <c r="M156" i="1"/>
  <c r="L156" i="1"/>
  <c r="K156" i="1"/>
  <c r="K158" i="1" s="1"/>
  <c r="I156" i="1"/>
  <c r="X153" i="1"/>
  <c r="W153" i="1"/>
  <c r="V153" i="1"/>
  <c r="T153" i="1"/>
  <c r="O153" i="1"/>
  <c r="N153" i="1"/>
  <c r="M153" i="1"/>
  <c r="L153" i="1"/>
  <c r="G153" i="1"/>
  <c r="F153" i="1"/>
  <c r="E153" i="1"/>
  <c r="D153" i="1"/>
  <c r="K152" i="1"/>
  <c r="K153" i="1" s="1"/>
  <c r="H152" i="1"/>
  <c r="H153" i="1" s="1"/>
  <c r="Q151" i="1"/>
  <c r="J151" i="1"/>
  <c r="Y148" i="1"/>
  <c r="Y153" i="1" s="1"/>
  <c r="X148" i="1"/>
  <c r="W148" i="1"/>
  <c r="V148" i="1"/>
  <c r="U148" i="1"/>
  <c r="T148" i="1"/>
  <c r="S148" i="1"/>
  <c r="O148" i="1"/>
  <c r="N148" i="1"/>
  <c r="L148" i="1"/>
  <c r="Q147" i="1"/>
  <c r="H147" i="1"/>
  <c r="H148" i="1" s="1"/>
  <c r="G147" i="1"/>
  <c r="G148" i="1" s="1"/>
  <c r="F147" i="1"/>
  <c r="E147" i="1"/>
  <c r="D147" i="1"/>
  <c r="R146" i="1"/>
  <c r="R148" i="1" s="1"/>
  <c r="Q146" i="1"/>
  <c r="M146" i="1"/>
  <c r="M148" i="1" s="1"/>
  <c r="F146" i="1"/>
  <c r="D146" i="1"/>
  <c r="J146" i="1" s="1"/>
  <c r="K145" i="1"/>
  <c r="K148" i="1" s="1"/>
  <c r="F145" i="1"/>
  <c r="E145" i="1"/>
  <c r="E148" i="1" s="1"/>
  <c r="D145" i="1"/>
  <c r="X141" i="1"/>
  <c r="W141" i="1"/>
  <c r="V141" i="1"/>
  <c r="U141" i="1"/>
  <c r="T141" i="1"/>
  <c r="S141" i="1"/>
  <c r="R141" i="1"/>
  <c r="N141" i="1"/>
  <c r="G141" i="1"/>
  <c r="X140" i="1"/>
  <c r="W140" i="1"/>
  <c r="V140" i="1"/>
  <c r="U140" i="1"/>
  <c r="T140" i="1"/>
  <c r="S140" i="1"/>
  <c r="R140" i="1"/>
  <c r="N140" i="1"/>
  <c r="O139" i="1"/>
  <c r="X134" i="1"/>
  <c r="W134" i="1"/>
  <c r="V134" i="1"/>
  <c r="U134" i="1"/>
  <c r="T134" i="1"/>
  <c r="S134" i="1"/>
  <c r="R134" i="1"/>
  <c r="X133" i="1"/>
  <c r="W133" i="1"/>
  <c r="V133" i="1"/>
  <c r="U133" i="1"/>
  <c r="T133" i="1"/>
  <c r="S133" i="1"/>
  <c r="R133" i="1"/>
  <c r="L133" i="1"/>
  <c r="X132" i="1"/>
  <c r="W132" i="1"/>
  <c r="V132" i="1"/>
  <c r="U132" i="1"/>
  <c r="U139" i="1" s="1"/>
  <c r="T132" i="1"/>
  <c r="S132" i="1"/>
  <c r="R132" i="1"/>
  <c r="R151" i="1" s="1"/>
  <c r="Y131" i="1"/>
  <c r="M131" i="1"/>
  <c r="M134" i="1" s="1"/>
  <c r="L131" i="1"/>
  <c r="K131" i="1"/>
  <c r="F131" i="1"/>
  <c r="F134" i="1" s="1"/>
  <c r="E131" i="1"/>
  <c r="D131" i="1"/>
  <c r="Y130" i="1"/>
  <c r="M130" i="1"/>
  <c r="M133" i="1" s="1"/>
  <c r="L130" i="1"/>
  <c r="K130" i="1"/>
  <c r="K133" i="1" s="1"/>
  <c r="F130" i="1"/>
  <c r="F132" i="1" s="1"/>
  <c r="E130" i="1"/>
  <c r="E133" i="1" s="1"/>
  <c r="D130" i="1"/>
  <c r="D133" i="1" s="1"/>
  <c r="X125" i="1"/>
  <c r="W125" i="1"/>
  <c r="V125" i="1"/>
  <c r="U125" i="1"/>
  <c r="T125" i="1"/>
  <c r="S125" i="1"/>
  <c r="R125" i="1"/>
  <c r="N125" i="1"/>
  <c r="X124" i="1"/>
  <c r="W124" i="1"/>
  <c r="V124" i="1"/>
  <c r="U124" i="1"/>
  <c r="T124" i="1"/>
  <c r="S124" i="1"/>
  <c r="R124" i="1"/>
  <c r="N124" i="1"/>
  <c r="G124" i="1"/>
  <c r="M123" i="1"/>
  <c r="L123" i="1"/>
  <c r="K123" i="1"/>
  <c r="H123" i="1"/>
  <c r="G123" i="1"/>
  <c r="F123" i="1"/>
  <c r="E123" i="1"/>
  <c r="D123" i="1"/>
  <c r="V122" i="1"/>
  <c r="M122" i="1"/>
  <c r="L122" i="1"/>
  <c r="K122" i="1"/>
  <c r="F122" i="1"/>
  <c r="E122" i="1"/>
  <c r="D122" i="1"/>
  <c r="X121" i="1"/>
  <c r="X122" i="1" s="1"/>
  <c r="W121" i="1"/>
  <c r="V121" i="1"/>
  <c r="U121" i="1"/>
  <c r="U126" i="1" s="1"/>
  <c r="T121" i="1"/>
  <c r="S121" i="1"/>
  <c r="R121" i="1"/>
  <c r="R152" i="1" s="1"/>
  <c r="P121" i="1"/>
  <c r="N121" i="1"/>
  <c r="N139" i="1" s="1"/>
  <c r="Y120" i="1"/>
  <c r="M120" i="1"/>
  <c r="L120" i="1"/>
  <c r="L125" i="1" s="1"/>
  <c r="K120" i="1"/>
  <c r="K125" i="1" s="1"/>
  <c r="H120" i="1"/>
  <c r="H141" i="1" s="1"/>
  <c r="G120" i="1"/>
  <c r="G125" i="1" s="1"/>
  <c r="F120" i="1"/>
  <c r="F125" i="1" s="1"/>
  <c r="E120" i="1"/>
  <c r="E125" i="1" s="1"/>
  <c r="D120" i="1"/>
  <c r="D125" i="1" s="1"/>
  <c r="Y119" i="1"/>
  <c r="M119" i="1"/>
  <c r="L119" i="1"/>
  <c r="L124" i="1" s="1"/>
  <c r="K119" i="1"/>
  <c r="H119" i="1"/>
  <c r="H140" i="1" s="1"/>
  <c r="G119" i="1"/>
  <c r="G140" i="1" s="1"/>
  <c r="F119" i="1"/>
  <c r="E119" i="1"/>
  <c r="E124" i="1" s="1"/>
  <c r="D119" i="1"/>
  <c r="D124" i="1" s="1"/>
  <c r="X116" i="1"/>
  <c r="W116" i="1"/>
  <c r="W115" i="1" s="1"/>
  <c r="V116" i="1"/>
  <c r="U116" i="1"/>
  <c r="X115" i="1"/>
  <c r="V115" i="1"/>
  <c r="U115" i="1"/>
  <c r="Y114" i="1"/>
  <c r="Y116" i="1" s="1"/>
  <c r="Y115" i="1" s="1"/>
  <c r="M114" i="1"/>
  <c r="Q114" i="1" s="1"/>
  <c r="J114" i="1"/>
  <c r="X111" i="1"/>
  <c r="W111" i="1"/>
  <c r="V111" i="1"/>
  <c r="F111" i="1"/>
  <c r="Y110" i="1"/>
  <c r="Q110" i="1"/>
  <c r="J110" i="1"/>
  <c r="Y109" i="1"/>
  <c r="O109" i="1"/>
  <c r="Q109" i="1" s="1"/>
  <c r="J109" i="1"/>
  <c r="Y108" i="1"/>
  <c r="Q108" i="1"/>
  <c r="O108" i="1"/>
  <c r="J108" i="1"/>
  <c r="Y107" i="1"/>
  <c r="O107" i="1"/>
  <c r="Q107" i="1" s="1"/>
  <c r="J107" i="1"/>
  <c r="Y106" i="1"/>
  <c r="Q106" i="1"/>
  <c r="G106" i="1"/>
  <c r="J106" i="1" s="1"/>
  <c r="Y105" i="1"/>
  <c r="O105" i="1"/>
  <c r="N105" i="1"/>
  <c r="M105" i="1"/>
  <c r="L105" i="1"/>
  <c r="K105" i="1"/>
  <c r="G105" i="1"/>
  <c r="J105" i="1" s="1"/>
  <c r="Y104" i="1"/>
  <c r="Q104" i="1"/>
  <c r="G104" i="1"/>
  <c r="J104" i="1" s="1"/>
  <c r="Y103" i="1"/>
  <c r="N103" i="1"/>
  <c r="M103" i="1"/>
  <c r="L103" i="1"/>
  <c r="K103" i="1"/>
  <c r="I103" i="1"/>
  <c r="H103" i="1"/>
  <c r="E103" i="1"/>
  <c r="D103" i="1"/>
  <c r="P102" i="1"/>
  <c r="O102" i="1"/>
  <c r="Q102" i="1" s="1"/>
  <c r="J102" i="1"/>
  <c r="P101" i="1"/>
  <c r="P103" i="1" s="1"/>
  <c r="O101" i="1"/>
  <c r="G101" i="1"/>
  <c r="G103" i="1" s="1"/>
  <c r="F101" i="1"/>
  <c r="F103" i="1" s="1"/>
  <c r="Y98" i="1"/>
  <c r="Q98" i="1"/>
  <c r="J98" i="1"/>
  <c r="Y97" i="1"/>
  <c r="Q97" i="1"/>
  <c r="O97" i="1"/>
  <c r="J97" i="1"/>
  <c r="Y96" i="1"/>
  <c r="O96" i="1"/>
  <c r="Q96" i="1" s="1"/>
  <c r="J96" i="1"/>
  <c r="Y95" i="1"/>
  <c r="O95" i="1"/>
  <c r="Q95" i="1" s="1"/>
  <c r="J95" i="1"/>
  <c r="Y94" i="1"/>
  <c r="L94" i="1"/>
  <c r="Q94" i="1" s="1"/>
  <c r="J94" i="1"/>
  <c r="Y93" i="1"/>
  <c r="Q93" i="1"/>
  <c r="J93" i="1"/>
  <c r="Y92" i="1"/>
  <c r="Q92" i="1"/>
  <c r="J92" i="1"/>
  <c r="Y91" i="1"/>
  <c r="P91" i="1"/>
  <c r="N91" i="1"/>
  <c r="M91" i="1"/>
  <c r="K91" i="1"/>
  <c r="I91" i="1"/>
  <c r="H91" i="1"/>
  <c r="G91" i="1"/>
  <c r="F91" i="1"/>
  <c r="E91" i="1"/>
  <c r="D91" i="1"/>
  <c r="O90" i="1"/>
  <c r="Q90" i="1" s="1"/>
  <c r="J90" i="1"/>
  <c r="J91" i="1" s="1"/>
  <c r="O89" i="1"/>
  <c r="L89" i="1"/>
  <c r="J89" i="1"/>
  <c r="Y85" i="1"/>
  <c r="Q85" i="1"/>
  <c r="J85" i="1"/>
  <c r="U83" i="1"/>
  <c r="T83" i="1"/>
  <c r="M83" i="1"/>
  <c r="T82" i="1"/>
  <c r="Y80" i="1"/>
  <c r="Q80" i="1"/>
  <c r="J80" i="1"/>
  <c r="Y79" i="1"/>
  <c r="O79" i="1"/>
  <c r="Q79" i="1" s="1"/>
  <c r="J79" i="1"/>
  <c r="Y78" i="1"/>
  <c r="O78" i="1"/>
  <c r="Q78" i="1" s="1"/>
  <c r="J78" i="1"/>
  <c r="Y77" i="1"/>
  <c r="O77" i="1"/>
  <c r="Q77" i="1" s="1"/>
  <c r="J77" i="1"/>
  <c r="X76" i="1"/>
  <c r="X84" i="1" s="1"/>
  <c r="W76" i="1"/>
  <c r="V76" i="1"/>
  <c r="V81" i="1" s="1"/>
  <c r="U76" i="1"/>
  <c r="U81" i="1" s="1"/>
  <c r="T76" i="1"/>
  <c r="T81" i="1" s="1"/>
  <c r="S76" i="1"/>
  <c r="S81" i="1" s="1"/>
  <c r="R76" i="1"/>
  <c r="N76" i="1"/>
  <c r="N84" i="1" s="1"/>
  <c r="M76" i="1"/>
  <c r="M81" i="1" s="1"/>
  <c r="L76" i="1"/>
  <c r="L83" i="1" s="1"/>
  <c r="K76" i="1"/>
  <c r="K81" i="1" s="1"/>
  <c r="I76" i="1"/>
  <c r="I81" i="1" s="1"/>
  <c r="E76" i="1"/>
  <c r="E83" i="1" s="1"/>
  <c r="Y75" i="1"/>
  <c r="O75" i="1"/>
  <c r="J75" i="1"/>
  <c r="Y74" i="1"/>
  <c r="P74" i="1"/>
  <c r="P76" i="1" s="1"/>
  <c r="O74" i="1"/>
  <c r="H74" i="1"/>
  <c r="H76" i="1" s="1"/>
  <c r="H82" i="1" s="1"/>
  <c r="G74" i="1"/>
  <c r="G76" i="1" s="1"/>
  <c r="G82" i="1" s="1"/>
  <c r="F74" i="1"/>
  <c r="F76" i="1" s="1"/>
  <c r="F83" i="1" s="1"/>
  <c r="D74" i="1"/>
  <c r="D76" i="1" s="1"/>
  <c r="D81" i="1" s="1"/>
  <c r="M70" i="1"/>
  <c r="Q70" i="1" s="1"/>
  <c r="H70" i="1"/>
  <c r="G70" i="1"/>
  <c r="F70" i="1"/>
  <c r="D70" i="1"/>
  <c r="W69" i="1"/>
  <c r="M69" i="1"/>
  <c r="Q69" i="1" s="1"/>
  <c r="G69" i="1"/>
  <c r="F69" i="1"/>
  <c r="V68" i="1"/>
  <c r="S68" i="1"/>
  <c r="Q68" i="1"/>
  <c r="J68" i="1"/>
  <c r="L65" i="1"/>
  <c r="L59" i="1"/>
  <c r="K59" i="1"/>
  <c r="W58" i="1"/>
  <c r="Y55" i="1"/>
  <c r="Q55" i="1"/>
  <c r="J55" i="1"/>
  <c r="Y54" i="1"/>
  <c r="O54" i="1"/>
  <c r="Q54" i="1" s="1"/>
  <c r="J54" i="1"/>
  <c r="Y53" i="1"/>
  <c r="O53" i="1"/>
  <c r="J53" i="1"/>
  <c r="Y52" i="1"/>
  <c r="O52" i="1"/>
  <c r="Q52" i="1" s="1"/>
  <c r="J52" i="1"/>
  <c r="X51" i="1"/>
  <c r="W51" i="1"/>
  <c r="V51" i="1"/>
  <c r="U51" i="1"/>
  <c r="T51" i="1"/>
  <c r="S51" i="1"/>
  <c r="S64" i="1" s="1"/>
  <c r="R51" i="1"/>
  <c r="P51" i="1"/>
  <c r="N51" i="1"/>
  <c r="M51" i="1"/>
  <c r="L51" i="1"/>
  <c r="K51" i="1"/>
  <c r="I51" i="1"/>
  <c r="G51" i="1"/>
  <c r="F51" i="1"/>
  <c r="E51" i="1"/>
  <c r="D51" i="1"/>
  <c r="Y50" i="1"/>
  <c r="O50" i="1"/>
  <c r="Q50" i="1" s="1"/>
  <c r="J50" i="1"/>
  <c r="J51" i="1" s="1"/>
  <c r="H50" i="1"/>
  <c r="H51" i="1" s="1"/>
  <c r="Y49" i="1"/>
  <c r="O49" i="1"/>
  <c r="Q49" i="1" s="1"/>
  <c r="J49" i="1"/>
  <c r="Y46" i="1"/>
  <c r="Q46" i="1"/>
  <c r="J46" i="1"/>
  <c r="Y45" i="1"/>
  <c r="O45" i="1"/>
  <c r="Q45" i="1" s="1"/>
  <c r="J45" i="1"/>
  <c r="Y44" i="1"/>
  <c r="O44" i="1"/>
  <c r="Q44" i="1" s="1"/>
  <c r="J44" i="1"/>
  <c r="Y43" i="1"/>
  <c r="Q43" i="1"/>
  <c r="J43" i="1"/>
  <c r="X42" i="1"/>
  <c r="W42" i="1"/>
  <c r="V42" i="1"/>
  <c r="U42" i="1"/>
  <c r="T42" i="1"/>
  <c r="S42" i="1"/>
  <c r="S65" i="1" s="1"/>
  <c r="R42" i="1"/>
  <c r="N42" i="1"/>
  <c r="M42" i="1"/>
  <c r="L42" i="1"/>
  <c r="K42" i="1"/>
  <c r="I42" i="1"/>
  <c r="E42" i="1"/>
  <c r="Y41" i="1"/>
  <c r="P41" i="1"/>
  <c r="P157" i="1" s="1"/>
  <c r="O41" i="1"/>
  <c r="J41" i="1"/>
  <c r="Y40" i="1"/>
  <c r="O40" i="1"/>
  <c r="H40" i="1"/>
  <c r="H42" i="1" s="1"/>
  <c r="G40" i="1"/>
  <c r="G42" i="1" s="1"/>
  <c r="F40" i="1"/>
  <c r="F42" i="1" s="1"/>
  <c r="D40" i="1"/>
  <c r="X37" i="1"/>
  <c r="W37" i="1"/>
  <c r="V37" i="1"/>
  <c r="U37" i="1"/>
  <c r="T37" i="1"/>
  <c r="T135" i="1" s="1"/>
  <c r="S37" i="1"/>
  <c r="R37" i="1"/>
  <c r="R135" i="1" s="1"/>
  <c r="P37" i="1"/>
  <c r="O37" i="1"/>
  <c r="N37" i="1"/>
  <c r="M37" i="1"/>
  <c r="L37" i="1"/>
  <c r="K37" i="1"/>
  <c r="I37" i="1"/>
  <c r="H37" i="1"/>
  <c r="G37" i="1"/>
  <c r="F37" i="1"/>
  <c r="E37" i="1"/>
  <c r="D37" i="1"/>
  <c r="Y36" i="1"/>
  <c r="Q36" i="1"/>
  <c r="Q37" i="1" s="1"/>
  <c r="J36" i="1"/>
  <c r="J37" i="1" s="1"/>
  <c r="Y35" i="1"/>
  <c r="Q35" i="1"/>
  <c r="J35" i="1"/>
  <c r="T32" i="1"/>
  <c r="S32" i="1"/>
  <c r="R32" i="1"/>
  <c r="R116" i="1" s="1"/>
  <c r="R115" i="1" s="1"/>
  <c r="N32" i="1"/>
  <c r="N115" i="1" s="1"/>
  <c r="N116" i="1" s="1"/>
  <c r="L32" i="1"/>
  <c r="L115" i="1" s="1"/>
  <c r="L116" i="1" s="1"/>
  <c r="K32" i="1"/>
  <c r="K115" i="1" s="1"/>
  <c r="K116" i="1" s="1"/>
  <c r="I32" i="1"/>
  <c r="H32" i="1"/>
  <c r="H115" i="1" s="1"/>
  <c r="H116" i="1" s="1"/>
  <c r="G32" i="1"/>
  <c r="G115" i="1" s="1"/>
  <c r="G116" i="1" s="1"/>
  <c r="F32" i="1"/>
  <c r="F115" i="1" s="1"/>
  <c r="F116" i="1" s="1"/>
  <c r="E32" i="1"/>
  <c r="E115" i="1" s="1"/>
  <c r="E116" i="1" s="1"/>
  <c r="D32" i="1"/>
  <c r="Y31" i="1"/>
  <c r="P31" i="1"/>
  <c r="O31" i="1"/>
  <c r="M31" i="1"/>
  <c r="J31" i="1"/>
  <c r="Y30" i="1"/>
  <c r="P30" i="1"/>
  <c r="O30" i="1"/>
  <c r="O32" i="1" s="1"/>
  <c r="M30" i="1"/>
  <c r="J30" i="1"/>
  <c r="J32" i="1" s="1"/>
  <c r="J115" i="1" s="1"/>
  <c r="J116" i="1" s="1"/>
  <c r="X25" i="1"/>
  <c r="W25" i="1"/>
  <c r="V25" i="1"/>
  <c r="U25" i="1"/>
  <c r="T25" i="1"/>
  <c r="S25" i="1"/>
  <c r="R25" i="1"/>
  <c r="P25" i="1"/>
  <c r="N25" i="1"/>
  <c r="M25" i="1"/>
  <c r="L25" i="1"/>
  <c r="K25" i="1"/>
  <c r="X24" i="1"/>
  <c r="W24" i="1"/>
  <c r="V24" i="1"/>
  <c r="U24" i="1"/>
  <c r="T24" i="1"/>
  <c r="S24" i="1"/>
  <c r="R24" i="1"/>
  <c r="N24" i="1"/>
  <c r="M24" i="1"/>
  <c r="L24" i="1"/>
  <c r="L26" i="1" s="1"/>
  <c r="K24" i="1"/>
  <c r="K26" i="1" s="1"/>
  <c r="H26" i="1"/>
  <c r="E26" i="1"/>
  <c r="D26" i="1"/>
  <c r="Y20" i="1"/>
  <c r="Y21" i="1" s="1"/>
  <c r="X20" i="1"/>
  <c r="X21" i="1" s="1"/>
  <c r="W20" i="1"/>
  <c r="W21" i="1" s="1"/>
  <c r="V20" i="1"/>
  <c r="V21" i="1" s="1"/>
  <c r="U20" i="1"/>
  <c r="U21" i="1" s="1"/>
  <c r="T20" i="1"/>
  <c r="T21" i="1" s="1"/>
  <c r="S20" i="1"/>
  <c r="S21" i="1" s="1"/>
  <c r="R20" i="1"/>
  <c r="R21" i="1" s="1"/>
  <c r="P20" i="1"/>
  <c r="O20" i="1"/>
  <c r="N20" i="1"/>
  <c r="M20" i="1"/>
  <c r="M21" i="1" s="1"/>
  <c r="L20" i="1"/>
  <c r="L21" i="1" s="1"/>
  <c r="K20" i="1"/>
  <c r="K21" i="1" s="1"/>
  <c r="I20" i="1"/>
  <c r="H20" i="1"/>
  <c r="G20" i="1"/>
  <c r="F20" i="1"/>
  <c r="F21" i="1" s="1"/>
  <c r="E20" i="1"/>
  <c r="E21" i="1" s="1"/>
  <c r="D20" i="1"/>
  <c r="D21" i="1" s="1"/>
  <c r="Q19" i="1"/>
  <c r="J19" i="1"/>
  <c r="Q18" i="1"/>
  <c r="J18" i="1"/>
  <c r="J20" i="1" s="1"/>
  <c r="X13" i="1"/>
  <c r="X68" i="1" s="1"/>
  <c r="W13" i="1"/>
  <c r="W60" i="1" s="1"/>
  <c r="V13" i="1"/>
  <c r="V159" i="1" s="1"/>
  <c r="U13" i="1"/>
  <c r="U59" i="1" s="1"/>
  <c r="T13" i="1"/>
  <c r="T159" i="1" s="1"/>
  <c r="S13" i="1"/>
  <c r="R13" i="1"/>
  <c r="R68" i="1" s="1"/>
  <c r="N13" i="1"/>
  <c r="N61" i="1" s="1"/>
  <c r="M13" i="1"/>
  <c r="L13" i="1"/>
  <c r="L61" i="1" s="1"/>
  <c r="K13" i="1"/>
  <c r="K61" i="1" s="1"/>
  <c r="I13" i="1"/>
  <c r="I60" i="1" s="1"/>
  <c r="H13" i="1"/>
  <c r="H61" i="1" s="1"/>
  <c r="E13" i="1"/>
  <c r="E64" i="1" s="1"/>
  <c r="Y12" i="1"/>
  <c r="Y25" i="1" s="1"/>
  <c r="O12" i="1"/>
  <c r="J12" i="1"/>
  <c r="Y11" i="1"/>
  <c r="Y24" i="1" s="1"/>
  <c r="P11" i="1"/>
  <c r="P40" i="1" s="1"/>
  <c r="O11" i="1"/>
  <c r="O24" i="1" s="1"/>
  <c r="F13" i="1"/>
  <c r="D13" i="1"/>
  <c r="D59" i="1" s="1"/>
  <c r="J27" i="2" l="1"/>
  <c r="M25" i="2"/>
  <c r="H33" i="2"/>
  <c r="H34" i="2" s="1"/>
  <c r="H35" i="2" s="1"/>
  <c r="Y132" i="1"/>
  <c r="S159" i="1"/>
  <c r="V14" i="1"/>
  <c r="Y134" i="1"/>
  <c r="S59" i="1"/>
  <c r="V83" i="1"/>
  <c r="D148" i="1"/>
  <c r="Y166" i="1"/>
  <c r="J174" i="1"/>
  <c r="N14" i="1"/>
  <c r="R14" i="1"/>
  <c r="X14" i="1"/>
  <c r="R26" i="1"/>
  <c r="W65" i="1"/>
  <c r="Q51" i="1"/>
  <c r="N60" i="1"/>
  <c r="L82" i="1"/>
  <c r="J131" i="1"/>
  <c r="L24" i="2"/>
  <c r="L27" i="2" s="1"/>
  <c r="Y76" i="1"/>
  <c r="Y82" i="1" s="1"/>
  <c r="T26" i="1"/>
  <c r="X26" i="1"/>
  <c r="F135" i="1"/>
  <c r="N65" i="1"/>
  <c r="V60" i="1"/>
  <c r="V82" i="1"/>
  <c r="M121" i="1"/>
  <c r="J130" i="1"/>
  <c r="J132" i="1" s="1"/>
  <c r="K132" i="1"/>
  <c r="K139" i="1" s="1"/>
  <c r="V139" i="1"/>
  <c r="K27" i="2"/>
  <c r="S26" i="1"/>
  <c r="Y51" i="1"/>
  <c r="U60" i="1"/>
  <c r="D83" i="1"/>
  <c r="Y124" i="1"/>
  <c r="W139" i="1"/>
  <c r="Q145" i="1"/>
  <c r="L158" i="1"/>
  <c r="L43" i="2"/>
  <c r="N64" i="1"/>
  <c r="P43" i="2"/>
  <c r="H55" i="2"/>
  <c r="E59" i="2"/>
  <c r="H57" i="2"/>
  <c r="Q19" i="3"/>
  <c r="K19" i="3"/>
  <c r="J20" i="3"/>
  <c r="K20" i="3"/>
  <c r="N17" i="3"/>
  <c r="E19" i="3"/>
  <c r="E18" i="3"/>
  <c r="P18" i="3"/>
  <c r="S17" i="3"/>
  <c r="Q18" i="3"/>
  <c r="O18" i="3"/>
  <c r="F19" i="3"/>
  <c r="J19" i="3"/>
  <c r="I25" i="2"/>
  <c r="P34" i="2"/>
  <c r="P35" i="2" s="1"/>
  <c r="F59" i="2"/>
  <c r="O26" i="2"/>
  <c r="G59" i="2"/>
  <c r="L13" i="2"/>
  <c r="J15" i="2"/>
  <c r="P13" i="2"/>
  <c r="H17" i="2"/>
  <c r="H24" i="2" s="1"/>
  <c r="P24" i="2"/>
  <c r="P27" i="2" s="1"/>
  <c r="M27" i="2"/>
  <c r="H56" i="2"/>
  <c r="P59" i="2"/>
  <c r="G27" i="2"/>
  <c r="F24" i="2"/>
  <c r="F25" i="2" s="1"/>
  <c r="H58" i="2"/>
  <c r="P24" i="1"/>
  <c r="P26" i="1" s="1"/>
  <c r="J40" i="1"/>
  <c r="J42" i="1" s="1"/>
  <c r="S84" i="1"/>
  <c r="I111" i="1"/>
  <c r="K140" i="1"/>
  <c r="J123" i="1"/>
  <c r="P32" i="1"/>
  <c r="P111" i="1" s="1"/>
  <c r="Y37" i="1"/>
  <c r="Y135" i="1" s="1"/>
  <c r="R65" i="1"/>
  <c r="R64" i="1"/>
  <c r="S60" i="1"/>
  <c r="U68" i="1"/>
  <c r="S83" i="1"/>
  <c r="T84" i="1"/>
  <c r="K111" i="1"/>
  <c r="L121" i="1"/>
  <c r="L126" i="1" s="1"/>
  <c r="L175" i="1"/>
  <c r="W175" i="1"/>
  <c r="J147" i="1"/>
  <c r="I158" i="1"/>
  <c r="I159" i="1" s="1"/>
  <c r="D175" i="1"/>
  <c r="N175" i="1"/>
  <c r="D140" i="1"/>
  <c r="T65" i="1"/>
  <c r="M124" i="1"/>
  <c r="J69" i="1"/>
  <c r="Q120" i="1"/>
  <c r="K159" i="1"/>
  <c r="M26" i="1"/>
  <c r="V26" i="1"/>
  <c r="Y42" i="1"/>
  <c r="K65" i="1"/>
  <c r="D64" i="1"/>
  <c r="L64" i="1"/>
  <c r="K58" i="1"/>
  <c r="T59" i="1"/>
  <c r="R61" i="1"/>
  <c r="D84" i="1"/>
  <c r="Y125" i="1"/>
  <c r="L159" i="1"/>
  <c r="Q11" i="1"/>
  <c r="Q24" i="1" s="1"/>
  <c r="U65" i="1"/>
  <c r="R126" i="1"/>
  <c r="V65" i="1"/>
  <c r="Q20" i="1"/>
  <c r="W26" i="1"/>
  <c r="T126" i="1"/>
  <c r="W135" i="1"/>
  <c r="R58" i="1"/>
  <c r="S61" i="1"/>
  <c r="R69" i="1"/>
  <c r="L81" i="1"/>
  <c r="K83" i="1"/>
  <c r="L84" i="1"/>
  <c r="D121" i="1"/>
  <c r="D126" i="1" s="1"/>
  <c r="M132" i="1"/>
  <c r="M139" i="1" s="1"/>
  <c r="F148" i="1"/>
  <c r="Q152" i="1"/>
  <c r="Q153" i="1" s="1"/>
  <c r="M158" i="1"/>
  <c r="M159" i="1" s="1"/>
  <c r="Y158" i="1"/>
  <c r="R175" i="1"/>
  <c r="T64" i="1"/>
  <c r="U26" i="1"/>
  <c r="K64" i="1"/>
  <c r="P13" i="1"/>
  <c r="P14" i="1" s="1"/>
  <c r="Y13" i="1"/>
  <c r="Y14" i="1" s="1"/>
  <c r="Q41" i="1"/>
  <c r="M65" i="1"/>
  <c r="X64" i="1"/>
  <c r="S58" i="1"/>
  <c r="K60" i="1"/>
  <c r="X61" i="1"/>
  <c r="S69" i="1"/>
  <c r="H111" i="1"/>
  <c r="J119" i="1"/>
  <c r="J124" i="1" s="1"/>
  <c r="Y122" i="1"/>
  <c r="F133" i="1"/>
  <c r="N158" i="1"/>
  <c r="N159" i="1" s="1"/>
  <c r="J166" i="1"/>
  <c r="Q174" i="1"/>
  <c r="Q148" i="1"/>
  <c r="U159" i="1"/>
  <c r="Q166" i="1"/>
  <c r="Y174" i="1"/>
  <c r="F18" i="3"/>
  <c r="P20" i="3"/>
  <c r="O20" i="3"/>
  <c r="I17" i="3"/>
  <c r="L59" i="2"/>
  <c r="E40" i="2"/>
  <c r="H38" i="2"/>
  <c r="L33" i="2"/>
  <c r="L34" i="2" s="1"/>
  <c r="L35" i="2" s="1"/>
  <c r="H13" i="2"/>
  <c r="J25" i="2"/>
  <c r="M15" i="2"/>
  <c r="E24" i="2"/>
  <c r="N26" i="2"/>
  <c r="N27" i="2"/>
  <c r="H39" i="2"/>
  <c r="H54" i="2"/>
  <c r="J26" i="2"/>
  <c r="E15" i="2"/>
  <c r="O15" i="2"/>
  <c r="F34" i="2"/>
  <c r="F35" i="2" s="1"/>
  <c r="F14" i="2"/>
  <c r="O27" i="2"/>
  <c r="N14" i="2"/>
  <c r="I27" i="2"/>
  <c r="E175" i="1"/>
  <c r="F65" i="1"/>
  <c r="E65" i="1"/>
  <c r="E159" i="1"/>
  <c r="G26" i="1"/>
  <c r="E59" i="1"/>
  <c r="E60" i="1"/>
  <c r="I26" i="1"/>
  <c r="H64" i="1"/>
  <c r="J134" i="1"/>
  <c r="O126" i="1"/>
  <c r="O115" i="1"/>
  <c r="O116" i="1" s="1"/>
  <c r="O142" i="1"/>
  <c r="F159" i="1"/>
  <c r="F58" i="1"/>
  <c r="F59" i="1"/>
  <c r="O103" i="1"/>
  <c r="O111" i="1" s="1"/>
  <c r="Q101" i="1"/>
  <c r="Q103" i="1" s="1"/>
  <c r="O25" i="1"/>
  <c r="O26" i="1" s="1"/>
  <c r="Q30" i="1"/>
  <c r="M32" i="1"/>
  <c r="M115" i="1" s="1"/>
  <c r="M116" i="1" s="1"/>
  <c r="F60" i="1"/>
  <c r="F82" i="1"/>
  <c r="T116" i="1"/>
  <c r="T115" i="1" s="1"/>
  <c r="E132" i="1"/>
  <c r="Y133" i="1"/>
  <c r="Q12" i="1"/>
  <c r="I14" i="1"/>
  <c r="O76" i="1"/>
  <c r="X135" i="1"/>
  <c r="X139" i="1"/>
  <c r="X142" i="1"/>
  <c r="M140" i="1"/>
  <c r="O175" i="1"/>
  <c r="H65" i="1"/>
  <c r="I59" i="1"/>
  <c r="U64" i="1"/>
  <c r="G83" i="1"/>
  <c r="G84" i="1"/>
  <c r="G81" i="1"/>
  <c r="Q75" i="1"/>
  <c r="F81" i="1"/>
  <c r="X83" i="1"/>
  <c r="Y140" i="1"/>
  <c r="L132" i="1"/>
  <c r="L140" i="1"/>
  <c r="F175" i="1"/>
  <c r="P83" i="1"/>
  <c r="P84" i="1"/>
  <c r="P81" i="1"/>
  <c r="H83" i="1"/>
  <c r="H84" i="1"/>
  <c r="F84" i="1"/>
  <c r="T111" i="1"/>
  <c r="Y32" i="1"/>
  <c r="Y111" i="1" s="1"/>
  <c r="R84" i="1"/>
  <c r="R83" i="1"/>
  <c r="R82" i="1"/>
  <c r="Q21" i="1"/>
  <c r="X82" i="1"/>
  <c r="M61" i="1"/>
  <c r="M14" i="1"/>
  <c r="M58" i="1"/>
  <c r="M64" i="1"/>
  <c r="P156" i="1"/>
  <c r="P158" i="1" s="1"/>
  <c r="P42" i="1"/>
  <c r="N26" i="1"/>
  <c r="D111" i="1"/>
  <c r="D115" i="1"/>
  <c r="D116" i="1" s="1"/>
  <c r="X65" i="1"/>
  <c r="I64" i="1"/>
  <c r="I58" i="1"/>
  <c r="M60" i="1"/>
  <c r="J70" i="1"/>
  <c r="H81" i="1"/>
  <c r="X81" i="1"/>
  <c r="L111" i="1"/>
  <c r="F124" i="1"/>
  <c r="F121" i="1"/>
  <c r="F143" i="1" s="1"/>
  <c r="F140" i="1"/>
  <c r="R153" i="1"/>
  <c r="H159" i="1"/>
  <c r="H59" i="1"/>
  <c r="H60" i="1"/>
  <c r="H58" i="1"/>
  <c r="M125" i="1"/>
  <c r="Q31" i="1"/>
  <c r="E141" i="1"/>
  <c r="E134" i="1"/>
  <c r="J11" i="1"/>
  <c r="J13" i="1" s="1"/>
  <c r="J14" i="1" s="1"/>
  <c r="U61" i="1"/>
  <c r="U14" i="1"/>
  <c r="U69" i="1"/>
  <c r="U58" i="1"/>
  <c r="J25" i="1"/>
  <c r="O13" i="1"/>
  <c r="O59" i="1" s="1"/>
  <c r="W159" i="1"/>
  <c r="W68" i="1"/>
  <c r="W61" i="1"/>
  <c r="W59" i="1"/>
  <c r="W14" i="1"/>
  <c r="F26" i="1"/>
  <c r="Q40" i="1"/>
  <c r="O42" i="1"/>
  <c r="F64" i="1"/>
  <c r="V84" i="1"/>
  <c r="N111" i="1"/>
  <c r="S152" i="1"/>
  <c r="S126" i="1"/>
  <c r="Q130" i="1"/>
  <c r="Q131" i="1"/>
  <c r="L134" i="1"/>
  <c r="L141" i="1"/>
  <c r="Q53" i="1"/>
  <c r="F61" i="1"/>
  <c r="F14" i="1"/>
  <c r="K124" i="1"/>
  <c r="Q119" i="1"/>
  <c r="K121" i="1"/>
  <c r="K126" i="1" s="1"/>
  <c r="V142" i="1"/>
  <c r="H14" i="1"/>
  <c r="I61" i="1"/>
  <c r="I84" i="1"/>
  <c r="I83" i="1"/>
  <c r="I82" i="1"/>
  <c r="R81" i="1"/>
  <c r="E61" i="1"/>
  <c r="E14" i="1"/>
  <c r="E58" i="1"/>
  <c r="D159" i="1"/>
  <c r="D61" i="1"/>
  <c r="D14" i="1"/>
  <c r="D58" i="1"/>
  <c r="D60" i="1"/>
  <c r="Y26" i="1"/>
  <c r="G13" i="1"/>
  <c r="G175" i="1" s="1"/>
  <c r="X159" i="1"/>
  <c r="X59" i="1"/>
  <c r="X60" i="1"/>
  <c r="X69" i="1"/>
  <c r="X58" i="1"/>
  <c r="O51" i="1"/>
  <c r="O64" i="1" s="1"/>
  <c r="M59" i="1"/>
  <c r="N81" i="1"/>
  <c r="N82" i="1"/>
  <c r="P82" i="1"/>
  <c r="N83" i="1"/>
  <c r="O91" i="1"/>
  <c r="Q105" i="1"/>
  <c r="J120" i="1"/>
  <c r="J125" i="1" s="1"/>
  <c r="D42" i="1"/>
  <c r="D65" i="1" s="1"/>
  <c r="R59" i="1"/>
  <c r="L60" i="1"/>
  <c r="T60" i="1"/>
  <c r="V64" i="1"/>
  <c r="T68" i="1"/>
  <c r="W83" i="1"/>
  <c r="W84" i="1"/>
  <c r="D82" i="1"/>
  <c r="W82" i="1"/>
  <c r="G111" i="1"/>
  <c r="E111" i="1"/>
  <c r="Q122" i="1"/>
  <c r="X123" i="1"/>
  <c r="X126" i="1"/>
  <c r="F141" i="1"/>
  <c r="Q157" i="1"/>
  <c r="M175" i="1"/>
  <c r="X175" i="1"/>
  <c r="K14" i="1"/>
  <c r="S14" i="1"/>
  <c r="L58" i="1"/>
  <c r="T58" i="1"/>
  <c r="N59" i="1"/>
  <c r="V59" i="1"/>
  <c r="T61" i="1"/>
  <c r="T69" i="1"/>
  <c r="J74" i="1"/>
  <c r="J76" i="1" s="1"/>
  <c r="J82" i="1" s="1"/>
  <c r="J122" i="1"/>
  <c r="M141" i="1"/>
  <c r="S151" i="1"/>
  <c r="S153" i="1" s="1"/>
  <c r="S135" i="1"/>
  <c r="S142" i="1"/>
  <c r="S139" i="1"/>
  <c r="R159" i="1"/>
  <c r="S175" i="1"/>
  <c r="L14" i="1"/>
  <c r="T14" i="1"/>
  <c r="I65" i="1"/>
  <c r="V61" i="1"/>
  <c r="Q74" i="1"/>
  <c r="S82" i="1"/>
  <c r="K84" i="1"/>
  <c r="R111" i="1"/>
  <c r="Y141" i="1"/>
  <c r="T142" i="1"/>
  <c r="U135" i="1"/>
  <c r="H175" i="1"/>
  <c r="T175" i="1"/>
  <c r="S116" i="1"/>
  <c r="S115" i="1" s="1"/>
  <c r="S111" i="1"/>
  <c r="W64" i="1"/>
  <c r="N58" i="1"/>
  <c r="V58" i="1"/>
  <c r="R60" i="1"/>
  <c r="V69" i="1"/>
  <c r="E82" i="1"/>
  <c r="E84" i="1"/>
  <c r="M82" i="1"/>
  <c r="M84" i="1"/>
  <c r="U82" i="1"/>
  <c r="U84" i="1"/>
  <c r="E81" i="1"/>
  <c r="W81" i="1"/>
  <c r="K82" i="1"/>
  <c r="Q89" i="1"/>
  <c r="Q91" i="1" s="1"/>
  <c r="E121" i="1"/>
  <c r="E126" i="1" s="1"/>
  <c r="Y121" i="1"/>
  <c r="Y142" i="1" s="1"/>
  <c r="V126" i="1"/>
  <c r="V123" i="1"/>
  <c r="D141" i="1"/>
  <c r="D134" i="1"/>
  <c r="U142" i="1"/>
  <c r="K175" i="1"/>
  <c r="V175" i="1"/>
  <c r="Q156" i="1"/>
  <c r="L91" i="1"/>
  <c r="N123" i="1"/>
  <c r="Q123" i="1" s="1"/>
  <c r="D132" i="1"/>
  <c r="K134" i="1"/>
  <c r="V135" i="1"/>
  <c r="R139" i="1"/>
  <c r="N142" i="1"/>
  <c r="W142" i="1"/>
  <c r="J152" i="1"/>
  <c r="J153" i="1" s="1"/>
  <c r="J156" i="1"/>
  <c r="J158" i="1" s="1"/>
  <c r="J101" i="1"/>
  <c r="J103" i="1" s="1"/>
  <c r="J111" i="1" s="1"/>
  <c r="T139" i="1"/>
  <c r="E140" i="1"/>
  <c r="K141" i="1"/>
  <c r="R142" i="1"/>
  <c r="J145" i="1"/>
  <c r="G121" i="1"/>
  <c r="H121" i="1"/>
  <c r="N126" i="1"/>
  <c r="F26" i="2" l="1"/>
  <c r="F27" i="2"/>
  <c r="K142" i="1"/>
  <c r="J133" i="1"/>
  <c r="P126" i="1"/>
  <c r="M135" i="1"/>
  <c r="F139" i="1"/>
  <c r="M111" i="1"/>
  <c r="J60" i="1"/>
  <c r="M142" i="1"/>
  <c r="Y84" i="1"/>
  <c r="Y83" i="1"/>
  <c r="J159" i="1"/>
  <c r="Y81" i="1"/>
  <c r="K135" i="1"/>
  <c r="J140" i="1"/>
  <c r="J175" i="1"/>
  <c r="Q76" i="1"/>
  <c r="Q82" i="1" s="1"/>
  <c r="Q125" i="1"/>
  <c r="H59" i="2"/>
  <c r="S18" i="3"/>
  <c r="N18" i="3"/>
  <c r="Y69" i="1"/>
  <c r="Q158" i="1"/>
  <c r="P159" i="1"/>
  <c r="Y175" i="1"/>
  <c r="P61" i="1"/>
  <c r="M126" i="1"/>
  <c r="Y60" i="1"/>
  <c r="Y159" i="1"/>
  <c r="P65" i="1"/>
  <c r="Y61" i="1"/>
  <c r="Y58" i="1"/>
  <c r="Y64" i="1"/>
  <c r="Y68" i="1"/>
  <c r="Y65" i="1"/>
  <c r="P60" i="1"/>
  <c r="Y59" i="1"/>
  <c r="J148" i="1"/>
  <c r="P58" i="1"/>
  <c r="G64" i="1"/>
  <c r="P59" i="1"/>
  <c r="Q42" i="1"/>
  <c r="P64" i="1"/>
  <c r="I18" i="3"/>
  <c r="H40" i="2"/>
  <c r="H43" i="2" s="1"/>
  <c r="E43" i="2"/>
  <c r="E25" i="2"/>
  <c r="E26" i="2"/>
  <c r="E27" i="2"/>
  <c r="H27" i="2"/>
  <c r="J58" i="1"/>
  <c r="G65" i="1"/>
  <c r="J65" i="1"/>
  <c r="Q140" i="1"/>
  <c r="Q133" i="1"/>
  <c r="Q132" i="1"/>
  <c r="J61" i="1"/>
  <c r="F126" i="1"/>
  <c r="F142" i="1"/>
  <c r="J59" i="1"/>
  <c r="L142" i="1"/>
  <c r="L139" i="1"/>
  <c r="L135" i="1"/>
  <c r="J81" i="1"/>
  <c r="Q65" i="1"/>
  <c r="J135" i="1"/>
  <c r="O83" i="1"/>
  <c r="O82" i="1"/>
  <c r="O81" i="1"/>
  <c r="O84" i="1"/>
  <c r="Q13" i="1"/>
  <c r="Q25" i="1"/>
  <c r="Q26" i="1" s="1"/>
  <c r="H142" i="1"/>
  <c r="H139" i="1"/>
  <c r="H126" i="1"/>
  <c r="D143" i="1"/>
  <c r="D139" i="1"/>
  <c r="D135" i="1"/>
  <c r="D142" i="1"/>
  <c r="Y123" i="1"/>
  <c r="Q121" i="1"/>
  <c r="Q124" i="1"/>
  <c r="J84" i="1"/>
  <c r="J121" i="1"/>
  <c r="J126" i="1" s="1"/>
  <c r="J24" i="1"/>
  <c r="J26" i="1" s="1"/>
  <c r="J149" i="1" s="1"/>
  <c r="E143" i="1"/>
  <c r="E139" i="1"/>
  <c r="E135" i="1"/>
  <c r="E142" i="1"/>
  <c r="Q32" i="1"/>
  <c r="Q115" i="1" s="1"/>
  <c r="Q116" i="1" s="1"/>
  <c r="J141" i="1"/>
  <c r="O159" i="1"/>
  <c r="O60" i="1"/>
  <c r="O61" i="1"/>
  <c r="O58" i="1"/>
  <c r="Q81" i="1"/>
  <c r="J64" i="1"/>
  <c r="U151" i="1"/>
  <c r="U153" i="1" s="1"/>
  <c r="J21" i="1"/>
  <c r="O14" i="1"/>
  <c r="G142" i="1"/>
  <c r="G143" i="1"/>
  <c r="G139" i="1"/>
  <c r="G126" i="1"/>
  <c r="Y139" i="1"/>
  <c r="Y126" i="1"/>
  <c r="G159" i="1"/>
  <c r="G59" i="1"/>
  <c r="G61" i="1"/>
  <c r="G14" i="1"/>
  <c r="G60" i="1"/>
  <c r="G58" i="1"/>
  <c r="Q141" i="1"/>
  <c r="Q134" i="1"/>
  <c r="O65" i="1"/>
  <c r="J83" i="1"/>
  <c r="Q159" i="1" l="1"/>
  <c r="Q84" i="1"/>
  <c r="Q83" i="1"/>
  <c r="Q59" i="1"/>
  <c r="Q111" i="1"/>
  <c r="Q142" i="1"/>
  <c r="Q135" i="1"/>
  <c r="Q139" i="1"/>
  <c r="Q61" i="1"/>
  <c r="Q64" i="1"/>
  <c r="Q60" i="1"/>
  <c r="Q58" i="1"/>
  <c r="Q175" i="1"/>
  <c r="J139" i="1"/>
  <c r="Q126" i="1"/>
  <c r="Q14" i="1"/>
  <c r="J142" i="1"/>
  <c r="H26" i="2" l="1"/>
  <c r="I22" i="3"/>
  <c r="H15" i="2"/>
  <c r="I20" i="3"/>
  <c r="I21" i="3"/>
  <c r="H25" i="2"/>
  <c r="H14" i="2"/>
  <c r="I19" i="3"/>
  <c r="J28" i="5" l="1"/>
  <c r="K28" i="5" l="1"/>
  <c r="J29" i="5"/>
  <c r="J30" i="5" l="1"/>
  <c r="K30" i="5" s="1"/>
  <c r="K29" i="5"/>
  <c r="M28" i="5" l="1"/>
  <c r="M29" i="5" s="1"/>
  <c r="M30" i="5" s="1"/>
  <c r="N28" i="5"/>
  <c r="N29" i="5" s="1"/>
  <c r="N30" i="5" s="1"/>
  <c r="O28" i="5"/>
  <c r="O29" i="5" s="1"/>
  <c r="O30" i="5" s="1"/>
  <c r="P28" i="5"/>
  <c r="P29" i="5" s="1"/>
  <c r="P30" i="5" s="1"/>
  <c r="L28" i="5"/>
  <c r="S28" i="5" l="1"/>
  <c r="K32" i="5" s="1"/>
  <c r="L29" i="5"/>
  <c r="L30" i="5" l="1"/>
  <c r="S30" i="5" s="1"/>
  <c r="S29" i="5"/>
  <c r="P14" i="2" l="1"/>
  <c r="S21" i="3"/>
  <c r="S19" i="3"/>
  <c r="P25" i="2"/>
  <c r="S22" i="3"/>
  <c r="P26" i="2"/>
  <c r="S20" i="3"/>
  <c r="P15" i="2"/>
  <c r="L26" i="2" l="1"/>
  <c r="N22" i="3"/>
  <c r="N20" i="3"/>
  <c r="L15" i="2"/>
  <c r="N21" i="3"/>
  <c r="L25" i="2"/>
  <c r="L14" i="2"/>
  <c r="N1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tc={F3EDD6B8-FB57-614F-B58D-D82E94D2FC22}</author>
  </authors>
  <commentList>
    <comment ref="L37" authorId="0" shapeId="0" xr:uid="{F3EDD6B8-FB57-614F-B58D-D82E94D2FC22}">
      <text>
        <t>[Threaded comment]
Your version of Excel allows you to read this threaded comment; however, any edits to it will get removed if the file is opened in a newer version of Excel. Learn more: https://go.microsoft.com/fwlink/?linkid=870924
Comment:
    I added this number to match what we had in the 2022 report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Adriana Gomez</author>
  </authors>
  <commentList>
    <comment ref="J21" authorId="0" shapeId="0" xr:uid="{2D227D42-12D5-2441-A02C-DBB8BAF2FC2B}">
      <text>
        <r>
          <rPr>
            <b/>
            <sz val="9"/>
            <color rgb="FF000000"/>
            <rFont val="Tahoma"/>
            <family val="2"/>
          </rPr>
          <t>Adriana Gomez:</t>
        </r>
        <r>
          <rPr>
            <sz val="9"/>
            <color rgb="FF000000"/>
            <rFont val="Tahoma"/>
            <family val="2"/>
          </rPr>
          <t xml:space="preserve">
</t>
        </r>
        <r>
          <rPr>
            <sz val="9"/>
            <color rgb="FF000000"/>
            <rFont val="Tahoma"/>
            <family val="2"/>
          </rPr>
          <t>From G&amp;A note</t>
        </r>
      </text>
    </comment>
    <comment ref="J22" authorId="0" shapeId="0" xr:uid="{4EA0B3D0-C57A-A24D-849C-706CBCBD264D}">
      <text>
        <r>
          <rPr>
            <b/>
            <sz val="9"/>
            <color rgb="FF000000"/>
            <rFont val="Tahoma"/>
            <family val="2"/>
          </rPr>
          <t>Adriana Gomez:</t>
        </r>
        <r>
          <rPr>
            <sz val="9"/>
            <color rgb="FF000000"/>
            <rFont val="Tahoma"/>
            <family val="2"/>
          </rPr>
          <t xml:space="preserve">
</t>
        </r>
        <r>
          <rPr>
            <sz val="9"/>
            <color rgb="FF000000"/>
            <rFont val="Tahoma"/>
            <family val="2"/>
          </rPr>
          <t>From cash flow repmt loans &amp; leases and int paid</t>
        </r>
      </text>
    </comment>
    <comment ref="J26" authorId="0" shapeId="0" xr:uid="{6E6CF4DA-5AEF-C34D-BBF3-67EEA1617032}">
      <text>
        <r>
          <rPr>
            <b/>
            <sz val="9"/>
            <color rgb="FF000000"/>
            <rFont val="Tahoma"/>
            <family val="2"/>
          </rPr>
          <t>Adriana Gomez:</t>
        </r>
        <r>
          <rPr>
            <sz val="9"/>
            <color rgb="FF000000"/>
            <rFont val="Tahoma"/>
            <family val="2"/>
          </rPr>
          <t xml:space="preserve">
</t>
        </r>
        <r>
          <rPr>
            <sz val="9"/>
            <color rgb="FF000000"/>
            <rFont val="Tahoma"/>
            <family val="2"/>
          </rPr>
          <t>CPP and EI employer portion at avg FX for year</t>
        </r>
      </text>
    </comment>
  </commentList>
</comments>
</file>

<file path=xl/sharedStrings.xml><?xml version="1.0" encoding="utf-8"?>
<sst xmlns="http://schemas.openxmlformats.org/spreadsheetml/2006/main" count="954" uniqueCount="417">
  <si>
    <t>Guanacevi</t>
  </si>
  <si>
    <t>Bolañitos</t>
  </si>
  <si>
    <t>Terronera</t>
  </si>
  <si>
    <t>Leon</t>
  </si>
  <si>
    <t>Exploración</t>
  </si>
  <si>
    <t>Vancouver</t>
  </si>
  <si>
    <t>YE 2023</t>
  </si>
  <si>
    <t>YE 2022</t>
  </si>
  <si>
    <t>GCV 2021</t>
  </si>
  <si>
    <t>BOL 2021</t>
  </si>
  <si>
    <t>TPM 2021</t>
  </si>
  <si>
    <t>MOS 2021</t>
  </si>
  <si>
    <t>Leon 2021</t>
  </si>
  <si>
    <t>EXP 2021</t>
  </si>
  <si>
    <t>YVR 2021</t>
  </si>
  <si>
    <t>YE 2021</t>
  </si>
  <si>
    <t>NA</t>
  </si>
  <si>
    <t>N/A</t>
  </si>
  <si>
    <t>NA (closure)</t>
  </si>
  <si>
    <t>NA (Closure)</t>
  </si>
  <si>
    <t>Unidad</t>
  </si>
  <si>
    <t>kg</t>
  </si>
  <si>
    <t>kg/tonne</t>
  </si>
  <si>
    <t>kg/Ag eq oz</t>
  </si>
  <si>
    <t>*In 2022, expandimos la categoría de "Residuos no peligrosos" para que incuyera lo que en Mexico se maneja como "De manejo especial", lo cuál se reportaba por separado en los años anteriores; los datos del 2021 y 2020 se modificaron para reflejar este cambio.</t>
  </si>
  <si>
    <t>%</t>
  </si>
  <si>
    <t>tonnes</t>
  </si>
  <si>
    <t>MXP</t>
  </si>
  <si>
    <t>USD</t>
  </si>
  <si>
    <t>derrame</t>
  </si>
  <si>
    <t>32,2636**</t>
  </si>
  <si>
    <t xml:space="preserve"> 87,180**</t>
  </si>
  <si>
    <t>$     595,886*</t>
  </si>
  <si>
    <t xml:space="preserve"> $       4,103,721*</t>
  </si>
  <si>
    <t>Exploration</t>
  </si>
  <si>
    <r>
      <t>m</t>
    </r>
    <r>
      <rPr>
        <vertAlign val="superscript"/>
        <sz val="11"/>
        <color theme="1"/>
        <rFont val="Helvetica"/>
        <family val="2"/>
      </rPr>
      <t>3</t>
    </r>
  </si>
  <si>
    <r>
      <t>m</t>
    </r>
    <r>
      <rPr>
        <b/>
        <i/>
        <vertAlign val="superscript"/>
        <sz val="11"/>
        <color theme="1"/>
        <rFont val="Helvetica"/>
        <family val="2"/>
      </rPr>
      <t>3</t>
    </r>
  </si>
  <si>
    <r>
      <t>m</t>
    </r>
    <r>
      <rPr>
        <vertAlign val="superscript"/>
        <sz val="11"/>
        <color theme="1"/>
        <rFont val="Helvetica"/>
        <family val="2"/>
      </rPr>
      <t>3</t>
    </r>
    <r>
      <rPr>
        <sz val="11"/>
        <color theme="1"/>
        <rFont val="Helvetica"/>
        <family val="2"/>
      </rPr>
      <t>/tonne</t>
    </r>
  </si>
  <si>
    <r>
      <t>m</t>
    </r>
    <r>
      <rPr>
        <vertAlign val="superscript"/>
        <sz val="11"/>
        <color theme="1"/>
        <rFont val="Helvetica"/>
        <family val="2"/>
      </rPr>
      <t>3</t>
    </r>
    <r>
      <rPr>
        <sz val="11"/>
        <color theme="1"/>
        <rFont val="Helvetica"/>
        <family val="2"/>
      </rPr>
      <t>/Ag eq oz</t>
    </r>
  </si>
  <si>
    <t>ha</t>
  </si>
  <si>
    <t>fauna</t>
  </si>
  <si>
    <t>Cubo</t>
  </si>
  <si>
    <t>Pitarrilla</t>
  </si>
  <si>
    <t>CUBO 2021</t>
  </si>
  <si>
    <t>GCV 2020</t>
  </si>
  <si>
    <t>BOL 2020</t>
  </si>
  <si>
    <t>CUBO 2020</t>
  </si>
  <si>
    <t>MOS 2020</t>
  </si>
  <si>
    <t>EXP 2020</t>
  </si>
  <si>
    <t>YVR 2020</t>
  </si>
  <si>
    <t>YE 2020</t>
  </si>
  <si>
    <t>Tasa de cambio</t>
  </si>
  <si>
    <t>CAD to MXN = 13.1372</t>
  </si>
  <si>
    <t>MXN to CAD = 0.0761542</t>
  </si>
  <si>
    <t>USD to MXN = 17.7310</t>
  </si>
  <si>
    <t>MXN to USD = 0.0564468</t>
  </si>
  <si>
    <t>USD to CAD = 1.34934</t>
  </si>
  <si>
    <t>CAD to USD = 0.741034</t>
  </si>
  <si>
    <t>Not tracked</t>
  </si>
  <si>
    <t>TPM 2020</t>
  </si>
  <si>
    <t>n/a</t>
  </si>
  <si>
    <t>UNIT</t>
  </si>
  <si>
    <t>MWh</t>
  </si>
  <si>
    <t>lt</t>
  </si>
  <si>
    <t>GJ</t>
  </si>
  <si>
    <t>GJ/tonnes</t>
  </si>
  <si>
    <t>GJ/Ag eq oz</t>
  </si>
  <si>
    <t>tCO2e</t>
  </si>
  <si>
    <t>tCO2e/tonnes</t>
  </si>
  <si>
    <t>tCO2e/Ag eq oz</t>
  </si>
  <si>
    <t>Not tracked yet</t>
  </si>
  <si>
    <t>Indicator/disclosure</t>
  </si>
  <si>
    <t xml:space="preserve">Total employees by gender </t>
  </si>
  <si>
    <t>Total number of MALE employees as of Dec 31</t>
  </si>
  <si>
    <t>Total number of FEMALE employees as of Dec 31</t>
  </si>
  <si>
    <t>Total number of employees as of Dec 31*</t>
  </si>
  <si>
    <t>Female % for employees</t>
  </si>
  <si>
    <t xml:space="preserve">*All employees are permanent; there are no temporary employees. </t>
  </si>
  <si>
    <t xml:space="preserve">Total contractors by gender </t>
  </si>
  <si>
    <t xml:space="preserve">Total number of MALE contractors </t>
  </si>
  <si>
    <t xml:space="preserve">Total number of FEMALE contractors </t>
  </si>
  <si>
    <t xml:space="preserve">Total number of contractors </t>
  </si>
  <si>
    <t>Female % for contractors</t>
  </si>
  <si>
    <t>Total workforce (including employees and contractors)</t>
  </si>
  <si>
    <t xml:space="preserve">Total number of MALE employees and contractors </t>
  </si>
  <si>
    <t xml:space="preserve">Total number of FEMALE employees and contractors </t>
  </si>
  <si>
    <t>Total number of  employees and contractors</t>
  </si>
  <si>
    <t xml:space="preserve">Indigenous Hires </t>
  </si>
  <si>
    <t>Average employees</t>
  </si>
  <si>
    <t>Average number of MALE employees in the year</t>
  </si>
  <si>
    <t>Average number of FEMALE employees in the year</t>
  </si>
  <si>
    <t>Average number of employees in the year</t>
  </si>
  <si>
    <t>Average contractors</t>
  </si>
  <si>
    <t>Average number of MALE contractors in the year</t>
  </si>
  <si>
    <t>Average number of FEMALE contractors in the year</t>
  </si>
  <si>
    <t>Average number of contractors in the year</t>
  </si>
  <si>
    <t>Total non-union employees by gender and origin</t>
  </si>
  <si>
    <t>Total MALE non-union employees</t>
  </si>
  <si>
    <t>Total FEMALE non-union employees</t>
  </si>
  <si>
    <t>Total non-union employees</t>
  </si>
  <si>
    <t xml:space="preserve">Local Hires (municipality) </t>
  </si>
  <si>
    <t xml:space="preserve">Local Hires (state) </t>
  </si>
  <si>
    <t xml:space="preserve">Regional Hires (within the country) </t>
  </si>
  <si>
    <t>International hires</t>
  </si>
  <si>
    <t>Total union employees by gender and origin</t>
  </si>
  <si>
    <t>Total MALE union employees</t>
  </si>
  <si>
    <t>Total FEMALE union employees</t>
  </si>
  <si>
    <t>Total union employees</t>
  </si>
  <si>
    <t>Local hiring of employees (union &amp; non union)</t>
  </si>
  <si>
    <t xml:space="preserve">% of Local Hires (municipality) </t>
  </si>
  <si>
    <t xml:space="preserve">% of Local Hires (state) </t>
  </si>
  <si>
    <t xml:space="preserve">% of Regional Hires (within the country) </t>
  </si>
  <si>
    <t>% of International hires</t>
  </si>
  <si>
    <t>Union employees representation</t>
  </si>
  <si>
    <t>Percentage of Union Employees</t>
  </si>
  <si>
    <t>Percentage of Non-Union Employees</t>
  </si>
  <si>
    <t>Total employees by age group*</t>
  </si>
  <si>
    <t>Under 30 years old</t>
  </si>
  <si>
    <t>30-50 years old</t>
  </si>
  <si>
    <t>Over 50 years old</t>
  </si>
  <si>
    <t>* New indicator disclosure in 2022</t>
  </si>
  <si>
    <t>Senior* management by gender and origin</t>
  </si>
  <si>
    <t>Total MALE managers</t>
  </si>
  <si>
    <t>Total FEMALE managers</t>
  </si>
  <si>
    <t>Total Managers</t>
  </si>
  <si>
    <t>% of local managers hired (in the state where they work)</t>
  </si>
  <si>
    <t>% of local managers hired (in country)</t>
  </si>
  <si>
    <t>% of managers hired internationally</t>
  </si>
  <si>
    <t>% of female in senior management</t>
  </si>
  <si>
    <t>* 2021 and 2020 numbers only capture the top department managers at each location, whereas in 2022 we expanded our definition to include anyone in a leaderhip position (leading a role or supervising people)</t>
  </si>
  <si>
    <t>New hires by gender, age and origin</t>
  </si>
  <si>
    <t xml:space="preserve">Total number of new MALE hires </t>
  </si>
  <si>
    <t xml:space="preserve">Total number of new FEMALE hires </t>
  </si>
  <si>
    <t xml:space="preserve">Total number of new hires </t>
  </si>
  <si>
    <t>Total new hires under 30 years old</t>
  </si>
  <si>
    <t>Total new hires between 30 and 50 years old</t>
  </si>
  <si>
    <t>Total new hires older than 50 years old</t>
  </si>
  <si>
    <t>Total new hires in the Municipality of the mine</t>
  </si>
  <si>
    <t>Total new hires in the State of the mine</t>
  </si>
  <si>
    <t>Total new hires in the rest of the country</t>
  </si>
  <si>
    <t>Total new hires internationally</t>
  </si>
  <si>
    <t>Turnover rate by gender, age and origin</t>
  </si>
  <si>
    <t xml:space="preserve">Total number of MALE employees leaving or dismissed </t>
  </si>
  <si>
    <t xml:space="preserve">Total number of FEMALE employees leaving or dismissed </t>
  </si>
  <si>
    <t xml:space="preserve">Total number of employees leaving or dismissed </t>
  </si>
  <si>
    <t>Total employees leaving or dismissed under 30 years old</t>
  </si>
  <si>
    <t>Total employees leaving or dismissed between 30 and 50 years old</t>
  </si>
  <si>
    <t>Total employees leaving or dismissed older than 50 years old</t>
  </si>
  <si>
    <t>Total employees leaving or dismissed from the Municipality of the mine</t>
  </si>
  <si>
    <t>Total employees leaving or dismissed from the State of the mine</t>
  </si>
  <si>
    <t>Total employees leaving or dismissed from the rest of the country</t>
  </si>
  <si>
    <t>Total employees leaving or dismissed from abroad</t>
  </si>
  <si>
    <t>Turnover rate for all employees</t>
  </si>
  <si>
    <t>Absenteeism rate</t>
  </si>
  <si>
    <t>Number of absent days</t>
  </si>
  <si>
    <t>Absentee rate - Acumulated</t>
  </si>
  <si>
    <t>Absentee rate - Monthly average</t>
  </si>
  <si>
    <t>Training and Education for employees</t>
  </si>
  <si>
    <t>Hours of training for MALE employees</t>
  </si>
  <si>
    <t>Hours of training for FEMALE employees</t>
  </si>
  <si>
    <t>Hours of training for employees</t>
  </si>
  <si>
    <t>Hours of training for union employees</t>
  </si>
  <si>
    <t>Hours of training for non-union employees</t>
  </si>
  <si>
    <t>Average hours per employee</t>
  </si>
  <si>
    <t>Average hours per MALE employee</t>
  </si>
  <si>
    <t>Average hours per FEMALE employee</t>
  </si>
  <si>
    <t>*Training for Exploration staff is captured in the site data</t>
  </si>
  <si>
    <t>Training and Education for contractors</t>
  </si>
  <si>
    <t>Hours of training for MALE contractors</t>
  </si>
  <si>
    <t>Hours of training for FEMALE contractors</t>
  </si>
  <si>
    <t>Hours of training for contractors</t>
  </si>
  <si>
    <t>Average hours per MALE contractor</t>
  </si>
  <si>
    <t>Average hours per FEMALE contractor</t>
  </si>
  <si>
    <t>Average hours per contractor</t>
  </si>
  <si>
    <t>*Leon has no contractors; training for Exploration staff is captured in the site data</t>
  </si>
  <si>
    <t>Training and Education for employees and contractors</t>
  </si>
  <si>
    <t>Total hours for employee and contractor</t>
  </si>
  <si>
    <t>Average hours for MALE employee and contractor</t>
  </si>
  <si>
    <t>Average hours for FEMALE employee and contractor</t>
  </si>
  <si>
    <t>Average hours for employee and contractor</t>
  </si>
  <si>
    <t>Topic training for employees and contractors</t>
  </si>
  <si>
    <t>Hours of training for Safety</t>
  </si>
  <si>
    <t>Hours of training for Technical skills</t>
  </si>
  <si>
    <t>Hours of training for Soft skills</t>
  </si>
  <si>
    <t>Total hours by topic for employee and contractors</t>
  </si>
  <si>
    <t>Onboarding for employees and contractors</t>
  </si>
  <si>
    <t>Onboarding hours for contractors</t>
  </si>
  <si>
    <t>Onboarding hours for employees</t>
  </si>
  <si>
    <t>Total onboarding hours</t>
  </si>
  <si>
    <t>Performance evaluations</t>
  </si>
  <si>
    <t>Number of MALE employees that receive performance evaluations</t>
  </si>
  <si>
    <t>Number of FEMALE employees that receive performance evaluations</t>
  </si>
  <si>
    <t>Number of employees that receive performance evaluations</t>
  </si>
  <si>
    <t>Percentage of employees receiving regular performance evaluations</t>
  </si>
  <si>
    <t>*Only non-union employees receive a performance evaluation</t>
  </si>
  <si>
    <t>Return to work and retention rates after parental leave, by gender</t>
  </si>
  <si>
    <t>Total number of people that left on maternity in the reporting year</t>
  </si>
  <si>
    <t>Total number of people that left on paternity in the reporting year</t>
  </si>
  <si>
    <t>Total number of people that came back to work after maternity or paternity</t>
  </si>
  <si>
    <t>Percentage of people that came back to work after maternity or paternity</t>
  </si>
  <si>
    <t>Entry level wage compared to local minimum wage, by gender</t>
  </si>
  <si>
    <t>Local minimum wage in each region (Mexican pesos)</t>
  </si>
  <si>
    <t>Number of employees receiving minimum wage</t>
  </si>
  <si>
    <t>Entry level wage at each location (Mexican pesos)*</t>
  </si>
  <si>
    <t>Number of MALE employees that earn that level wage at each location</t>
  </si>
  <si>
    <t>Number of FEMALE employees that earn that level wage at each location</t>
  </si>
  <si>
    <t>Number of people that earn that level wage at each location</t>
  </si>
  <si>
    <t>Percentage of employees receiving entry level wage at each location</t>
  </si>
  <si>
    <t>*2022 is the first year reporting "entry level wage" at Leon and for Exploration staff; these locations only have non-union employees, as such the results are higher than the operations.</t>
  </si>
  <si>
    <t>Employees</t>
  </si>
  <si>
    <t>Number of Reportable Injuries</t>
  </si>
  <si>
    <t>Number of Lost Time Injuries</t>
  </si>
  <si>
    <t>Number of fatalities</t>
  </si>
  <si>
    <t>Number of near miss incidents</t>
  </si>
  <si>
    <t>Number of Hight Potential Incidents (HPI)</t>
  </si>
  <si>
    <t>Number of lost days</t>
  </si>
  <si>
    <t>Number of hours worked</t>
  </si>
  <si>
    <t>Number of occupational illnesses</t>
  </si>
  <si>
    <t>Reportable Injury Frequency Rate (1)</t>
  </si>
  <si>
    <t>Lost Time Injury Frequency Rate (2)</t>
  </si>
  <si>
    <t>Lost Time Injury Severity Rate (3)</t>
  </si>
  <si>
    <t>Near Miss Frequency Rate</t>
  </si>
  <si>
    <t>Contractors</t>
  </si>
  <si>
    <t>Numbe of hours worked</t>
  </si>
  <si>
    <t>Employees and Contractors</t>
  </si>
  <si>
    <t>1. (Total number of recordable injuries (including fatalities, lost time injury, restricted work and medical treatment injury) x 200,000 hours)/ total worked hours.</t>
  </si>
  <si>
    <t>2. (Total lost time injuries x 200,000 hours)/ total worked hours.</t>
  </si>
  <si>
    <t>3. (Total lost time days x 200,000 hours)/ total worked hours.</t>
  </si>
  <si>
    <t>Community investment - Total USD</t>
  </si>
  <si>
    <t>Education</t>
  </si>
  <si>
    <t>Local economic development</t>
  </si>
  <si>
    <t>Partnerships for community health and infrastructure</t>
  </si>
  <si>
    <t>Other</t>
  </si>
  <si>
    <t>Total Community Investment (USD)</t>
  </si>
  <si>
    <t>Community investment - Type of expense</t>
  </si>
  <si>
    <t>Cash</t>
  </si>
  <si>
    <t>In kind</t>
  </si>
  <si>
    <t>Community Grievances</t>
  </si>
  <si>
    <t>Number of grievances in the reporting year</t>
  </si>
  <si>
    <t>Number of grievances carried out from the last resporting year</t>
  </si>
  <si>
    <t>Number of grievances closed in the reporting year</t>
  </si>
  <si>
    <t>Porcentage of grievances solved in the reporting year</t>
  </si>
  <si>
    <t>Number of grievances carried out for next reporting year</t>
  </si>
  <si>
    <t>Scholarships</t>
  </si>
  <si>
    <t>Scholarship recipients - Male</t>
  </si>
  <si>
    <t>Scholarship recipients - Female</t>
  </si>
  <si>
    <t>Total number of scholarships</t>
  </si>
  <si>
    <t>*We started reporting by gender in 2022; as such, there is no gender data for previous years</t>
  </si>
  <si>
    <t>Skills workshops</t>
  </si>
  <si>
    <t>Number of workshops</t>
  </si>
  <si>
    <t>Workshop participants - Male</t>
  </si>
  <si>
    <t>Workshop participants - Female</t>
  </si>
  <si>
    <t>Total number of skills workshop participants</t>
  </si>
  <si>
    <t>*We started tracking participation rates in 2021</t>
  </si>
  <si>
    <t>Energy consumption by original consumption</t>
  </si>
  <si>
    <t>Purchased electricity</t>
  </si>
  <si>
    <t>LPG</t>
  </si>
  <si>
    <t>Gasoline (mobile equipment)</t>
  </si>
  <si>
    <t>Diesel (mobile equipment) for auxiliary services</t>
  </si>
  <si>
    <t>Diesel (mobile equipment) in productive process</t>
  </si>
  <si>
    <t>Diesel (hauling and other equipment) in productive process</t>
  </si>
  <si>
    <t>Diesel (Generators)</t>
  </si>
  <si>
    <t xml:space="preserve">Explosives </t>
  </si>
  <si>
    <t>Refrigerants</t>
  </si>
  <si>
    <t>Energy consumption in Gigajoules</t>
  </si>
  <si>
    <t>Total energy consumption</t>
  </si>
  <si>
    <t>Energy intensity (energy used/tonnes processed)</t>
  </si>
  <si>
    <t>Energy intensity (energy used/silver equivalent oz)</t>
  </si>
  <si>
    <t>Percentage of energy from the grid</t>
  </si>
  <si>
    <t>Greenhouse Gas Emissions</t>
  </si>
  <si>
    <t>Refrigrants</t>
  </si>
  <si>
    <t>Total Scope 1 GHG Emissions</t>
  </si>
  <si>
    <t>Total Scope 2 GHG Emissions</t>
  </si>
  <si>
    <t>Total Scope 1+2 GHG Emissions</t>
  </si>
  <si>
    <t>GHG Emissions intensity (emissions/tonne processed) - Scope 1+2</t>
  </si>
  <si>
    <t>GHG Emissions intensity  (emissions/silver equivalent oz) - Scope 1+2</t>
  </si>
  <si>
    <t>Purchased goods and services</t>
  </si>
  <si>
    <t>Fuel and energy related activities</t>
  </si>
  <si>
    <t>Business travel</t>
  </si>
  <si>
    <t>Upstream transportation and distribution</t>
  </si>
  <si>
    <t>Employee commuting</t>
  </si>
  <si>
    <t>Downstream transportation and distribution</t>
  </si>
  <si>
    <t>Total Scope 3</t>
  </si>
  <si>
    <t>Total - Scope 1+2+3</t>
  </si>
  <si>
    <t>GHG Emissions intensity (emissions/tonne processed) - Scope 1+2+3</t>
  </si>
  <si>
    <t>GHG Emissions intensity  (emissions/silver equivalent oz) - Scope 1+2+3</t>
  </si>
  <si>
    <t xml:space="preserve">Air Emissions* </t>
  </si>
  <si>
    <t>Carbon Monoxide (CO)</t>
  </si>
  <si>
    <t>Nitrogen Oxides (NOx)</t>
  </si>
  <si>
    <t>Sulfur Oxides (SOx)</t>
  </si>
  <si>
    <t>Particulate Matter (PM)</t>
  </si>
  <si>
    <t>Mercury (Hg)</t>
  </si>
  <si>
    <t>Lead (Pb)</t>
  </si>
  <si>
    <t>Values in 2022 are different than reported in 2022 as calculation was aligned with the Mexican official environmental report (COA)</t>
  </si>
  <si>
    <t>Water</t>
  </si>
  <si>
    <t>Surface water, including water from wetlands, rivers, lakes, and oceans</t>
  </si>
  <si>
    <t>Ground water (from mining)</t>
  </si>
  <si>
    <t>Rainwater</t>
  </si>
  <si>
    <t>Recovered water from dry tailings pond</t>
  </si>
  <si>
    <t>Recycled water (from tailings)</t>
  </si>
  <si>
    <t>Purchased water (pipes)</t>
  </si>
  <si>
    <t>Total Water consumption</t>
  </si>
  <si>
    <t>Percentage of water recycled</t>
  </si>
  <si>
    <t>Water intensity by tonnes processed</t>
  </si>
  <si>
    <t>Water intensity by silver equivalent oz</t>
  </si>
  <si>
    <t>Fresh water intensity by tonnes processed</t>
  </si>
  <si>
    <t>Fresh water intensity by silver equivalent oz</t>
  </si>
  <si>
    <t>Water discharges</t>
  </si>
  <si>
    <t>Biodiversity</t>
  </si>
  <si>
    <t>Total land rehabilitated in the reporting year - inside the facilities</t>
  </si>
  <si>
    <t>Total land rehabilitated in the reporting year - outside the facilities</t>
  </si>
  <si>
    <t>Total land rehabilitated in the reporting year</t>
  </si>
  <si>
    <t>Total land rehabilitated so far - inside the facilities</t>
  </si>
  <si>
    <t>Total land rehabilitated so far - outside the facilities</t>
  </si>
  <si>
    <t>Total land rehabilitated so far</t>
  </si>
  <si>
    <t>Total land disturbed in the reporting year</t>
  </si>
  <si>
    <t>Total land disturbed so far</t>
  </si>
  <si>
    <t>Total trees planted</t>
  </si>
  <si>
    <t>Survival rate of reforestation projects</t>
  </si>
  <si>
    <t>Rescued fauna classified by NOM 059*</t>
  </si>
  <si>
    <t>Rescued fauna not classified by NOM 059*</t>
  </si>
  <si>
    <t>*New indicator disclosure in 2021; not tracked separately between classified and not classified by NOM 059 in 2021. NOM-059 is an environmental regulation in Mexico to protect specific flora and fauna species.</t>
  </si>
  <si>
    <t>Non-mineral Waste - Hazardous</t>
  </si>
  <si>
    <t>Hazardous waste (solid)</t>
  </si>
  <si>
    <t>Hazardous waste (liquid)</t>
  </si>
  <si>
    <t>Total Hazardouse Waste</t>
  </si>
  <si>
    <t>Hazardous waste intensity by tonnes processed</t>
  </si>
  <si>
    <t>Hazardous waste intensity by silver equivalent oz</t>
  </si>
  <si>
    <t>Non-mineral Waste - Non Hazardous</t>
  </si>
  <si>
    <t>Metals (scrap, copper,magneseum, bronze, tungsten, and electronics)</t>
  </si>
  <si>
    <t>Tires</t>
  </si>
  <si>
    <t>Plastics (PET, containers)</t>
  </si>
  <si>
    <t>Cardboard and paper</t>
  </si>
  <si>
    <t>Wood</t>
  </si>
  <si>
    <t>Solid urban waste - organics</t>
  </si>
  <si>
    <t>Solid urban waste - inorganics</t>
  </si>
  <si>
    <t>Total Non-Hazardouse Waste</t>
  </si>
  <si>
    <t>Non-hazardous waste intensity by tonnes processed</t>
  </si>
  <si>
    <t>Non-hazardous waste intensity by silver equivalent oz</t>
  </si>
  <si>
    <t>Total Non-Mineral Waste</t>
  </si>
  <si>
    <t>Disposal Method - Non-mineral Waste</t>
  </si>
  <si>
    <t>Recycling</t>
  </si>
  <si>
    <t>Co-processing</t>
  </si>
  <si>
    <t>Final disposition/incineration</t>
  </si>
  <si>
    <t>Percentage that does not go to landfill</t>
  </si>
  <si>
    <t>Mineral Waste</t>
  </si>
  <si>
    <t>Wasterock (inside the mine)</t>
  </si>
  <si>
    <t>Wasterock (outside the mine)</t>
  </si>
  <si>
    <t>Total Wasterock</t>
  </si>
  <si>
    <t>Tailings</t>
  </si>
  <si>
    <t>Sludges</t>
  </si>
  <si>
    <t>Total Mineral Waste</t>
  </si>
  <si>
    <t xml:space="preserve">Environmental expenses (MXP) </t>
  </si>
  <si>
    <t>Transportation and final disposition of waste</t>
  </si>
  <si>
    <t>Environmental studies</t>
  </si>
  <si>
    <t>Monitoring</t>
  </si>
  <si>
    <t>Project</t>
  </si>
  <si>
    <t>Tailings ponds</t>
  </si>
  <si>
    <t>Total Environmental Expenses (MXP)</t>
  </si>
  <si>
    <t>Environmental expenses (USD)</t>
  </si>
  <si>
    <t>Total Environmental Expenses (USD)</t>
  </si>
  <si>
    <t>Spills</t>
  </si>
  <si>
    <t>Non-reportable spills</t>
  </si>
  <si>
    <t>Reportable spills</t>
  </si>
  <si>
    <t>Tonnes processed</t>
  </si>
  <si>
    <t>Oz Silver</t>
  </si>
  <si>
    <t>Oz Gold</t>
  </si>
  <si>
    <t>Oz Silver equivalent</t>
  </si>
  <si>
    <t>Production</t>
  </si>
  <si>
    <t>Economic Value distributed and Retained (Thousands of USD)</t>
  </si>
  <si>
    <t>Direct Economic Value</t>
  </si>
  <si>
    <t>Revenues</t>
  </si>
  <si>
    <t xml:space="preserve">Indirect economic value: </t>
  </si>
  <si>
    <t>Operating costs</t>
  </si>
  <si>
    <t>Employee wages and benefits</t>
  </si>
  <si>
    <t>Payments to providers of capital</t>
  </si>
  <si>
    <t>Payments to Mx governments [taxes]</t>
  </si>
  <si>
    <t>Payments to Cdn governments [taxes]</t>
  </si>
  <si>
    <t>Payments to governments [payroll taxes, employer portion only] - Mexico</t>
  </si>
  <si>
    <t>Payments to governments [payroll taxes, employer portion only] - Canada</t>
  </si>
  <si>
    <t>Land use payments</t>
  </si>
  <si>
    <t>Community investment (including infrastructure) *</t>
  </si>
  <si>
    <t>Total Economic Value Distributed</t>
  </si>
  <si>
    <t>Total Economic Value Retained</t>
  </si>
  <si>
    <t>* Payments to governments. As a Canadian company, we are compliant with the Extractive Sector Transparency Measures Act, which requires Canadian companies to disclose any payments to governments. We don´t pay taxes yet in Chile and the U.S., as we only have projects there.</t>
  </si>
  <si>
    <t>Provision for reclamation and rehabilitation</t>
  </si>
  <si>
    <t>Sites that have closure plans</t>
  </si>
  <si>
    <t>Financial provision for closure</t>
  </si>
  <si>
    <t>Local Procurement - Goods and Services (Thousdands of USD)</t>
  </si>
  <si>
    <t>Total procurement spent locally (within state)</t>
  </si>
  <si>
    <t>Total procurement spent nationally (outside the state)</t>
  </si>
  <si>
    <t>Total procurement spent internationally</t>
  </si>
  <si>
    <t>Total procurement on Goods and services</t>
  </si>
  <si>
    <t>Percentage of state wide local procurement</t>
  </si>
  <si>
    <t>Percentage of international procurement</t>
  </si>
  <si>
    <t>Local Procurement - only Goods (Thousands of USD)</t>
  </si>
  <si>
    <t>Total procurement spent nationally (within the country)</t>
  </si>
  <si>
    <t>Total procurement on Goods</t>
  </si>
  <si>
    <t>Local Procurement - only Services (Thousands of USD)</t>
  </si>
  <si>
    <t>Total procurement on Services</t>
  </si>
  <si>
    <t>Procurement of Cianide (tonnes)*</t>
  </si>
  <si>
    <t>Cyanide</t>
  </si>
  <si>
    <t>*New indicator introduced in 2021</t>
  </si>
  <si>
    <t>Non-compliance with laws and regulations</t>
  </si>
  <si>
    <t>Number of fines</t>
  </si>
  <si>
    <t>Monetary sanctions (USD)*</t>
  </si>
  <si>
    <t>Estimated value for non-monetary sanctions (USD)</t>
  </si>
  <si>
    <t xml:space="preserve">*The sanctions were for extemporaneous payments to administrative procedures, but none were related to fines. </t>
  </si>
  <si>
    <t xml:space="preserve">This document presents data tables that summarize Endeavour Silver's quantitative sustainability performance in six areas: Human Resources, Safety, Community Relations, Environment, Energy and Economic Impact. For contextual information, these tables should be read in conjunction with our 2023 Sustainability Report and other sustainability disclosures available in our online Sustainability Reporting Hub. </t>
  </si>
  <si>
    <t>We report data for the past three calendar years, 2023, 2022 and 2021, which correspond to our fiscal reporting periods. Data includes all of Endeavour Silver's operations: our two producing precious metal mines, the Guanacevi mine in Durango, Mexico and the Bolanitos mine in Guanajuato, Mexico; the Terronera development project in Jalisco, Mexico; our exploration staff; the administrative office in Leon, Mexico; and our head office in Vancouver, Canada. Any restatements of data included in a previous report are described in the explanatory notes below the corresponding table.</t>
  </si>
  <si>
    <t xml:space="preserve">Data is presented in the metric system. All currency is in U.S. dollars, unless otherwise noted. Intensity measures are used to ensure comparability among the sites and other companies and are calculated based on tonnes of mineral processed and silver equivalent ounces. Intensity measures are only applicable to our producing sites, Bolañitos and Guanacevi. </t>
  </si>
  <si>
    <t>We use the following reporting frameworks to guide our disclosures: The GRI Standards, the GRI Mining and Metals Sector Supplement, the Sustainability Accounting Standards Board (SASB) Metals &amp; Mining Industry Standard and the Recommendations of the Task Force on Climate-related Financial Disclosures (TCFD).</t>
  </si>
  <si>
    <t xml:space="preserve">Visit our Sustainability Reporting Hub for further information. </t>
  </si>
  <si>
    <t>Questions or feedback? Contact Galina Meleger, Vice President of Investor Relations at gmeleger@edrsilver.com</t>
  </si>
  <si>
    <t>Introduction</t>
  </si>
  <si>
    <t>2023 ESG Performance Data Tables</t>
  </si>
  <si>
    <t xml:space="preserve">2023 ESG Performance Data Tables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</si>
</sst>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0.000"/>
    <numFmt numFmtId="168" formatCode="_(* #,##0.000_);_(* \(#,##0.000\);_(* &quot;-&quot;??_);_(@_)"/>
    <numFmt numFmtId="169" formatCode="0.00000"/>
    <numFmt numFmtId="170" formatCode="_(* #,##0.0_);_(* \(#,##0.0\);_(* &quot;-&quot;??_);_(@_)"/>
    <numFmt numFmtId="171" formatCode="0.0000"/>
  </numFmts>
  <fonts count="33">
    <font>
      <sz val="12"/>
      <color theme="1"/>
      <name val="Aptos Narrow"/>
      <family val="2"/>
      <scheme val="minor"/>
    </font>
    <font>
      <sz val="12"/>
      <color theme="1"/>
      <name val="Aptos Narrow"/>
      <family val="2"/>
      <scheme val="minor"/>
    </font>
    <font>
      <b/>
      <sz val="16"/>
      <color theme="0"/>
      <name val="Helvetica"/>
      <family val="2"/>
    </font>
    <font>
      <sz val="11"/>
      <color theme="1"/>
      <name val="Helvetica"/>
      <family val="2"/>
    </font>
    <font>
      <b/>
      <sz val="11"/>
      <color theme="0"/>
      <name val="Helvetica"/>
      <family val="2"/>
    </font>
    <font>
      <b/>
      <sz val="11"/>
      <color theme="1"/>
      <name val="Helvetica"/>
      <family val="2"/>
    </font>
    <font>
      <b/>
      <i/>
      <sz val="11"/>
      <color theme="1"/>
      <name val="Helvetica"/>
      <family val="2"/>
    </font>
    <font>
      <b/>
      <i/>
      <sz val="11"/>
      <name val="Helvetica"/>
      <family val="2"/>
    </font>
    <font>
      <sz val="9"/>
      <color theme="1"/>
      <name val="Helvetica"/>
      <family val="2"/>
    </font>
    <font>
      <sz val="11"/>
      <name val="Helvetica"/>
      <family val="2"/>
    </font>
    <font>
      <sz val="11"/>
      <color rgb="FF000000"/>
      <name val="Helvetica"/>
      <family val="2"/>
    </font>
    <font>
      <b/>
      <i/>
      <sz val="11"/>
      <color rgb="FF000000"/>
      <name val="Helvetica"/>
      <family val="2"/>
    </font>
    <font>
      <sz val="16"/>
      <color rgb="FF333333"/>
      <name val="Helvetica"/>
      <family val="2"/>
    </font>
    <font>
      <sz val="15"/>
      <color rgb="FF212529"/>
      <name val="Helvetica"/>
      <family val="2"/>
    </font>
    <font>
      <i/>
      <sz val="11"/>
      <color theme="1"/>
      <name val="Helvetica"/>
      <family val="2"/>
    </font>
    <font>
      <b/>
      <sz val="11"/>
      <name val="Helvetica"/>
      <family val="2"/>
    </font>
    <font>
      <sz val="11"/>
      <color theme="1"/>
      <name val="Aptos Narrow"/>
      <family val="2"/>
      <scheme val="minor"/>
    </font>
    <font>
      <b/>
      <sz val="12"/>
      <color theme="1"/>
      <name val="Aptos Narrow"/>
      <scheme val="minor"/>
    </font>
    <font>
      <vertAlign val="superscript"/>
      <sz val="11"/>
      <color theme="1"/>
      <name val="Helvetica"/>
      <family val="2"/>
    </font>
    <font>
      <sz val="12"/>
      <name val="Aptos Narrow"/>
      <family val="2"/>
      <scheme val="minor"/>
    </font>
    <font>
      <b/>
      <i/>
      <vertAlign val="superscript"/>
      <sz val="11"/>
      <color theme="1"/>
      <name val="Helvetica"/>
      <family val="2"/>
    </font>
    <font>
      <b/>
      <i/>
      <sz val="12"/>
      <color theme="1"/>
      <name val="Aptos Narrow"/>
      <family val="2"/>
      <scheme val="minor"/>
    </font>
    <font>
      <u/>
      <sz val="12"/>
      <color theme="10"/>
      <name val="Aptos Narrow"/>
      <family val="2"/>
      <scheme val="minor"/>
    </font>
    <font>
      <b/>
      <sz val="18"/>
      <color theme="0"/>
      <name val="Helvetica"/>
      <family val="2"/>
    </font>
    <font>
      <b/>
      <sz val="16"/>
      <color theme="1"/>
      <name val="Arial"/>
      <family val="2"/>
    </font>
    <font>
      <b/>
      <sz val="18"/>
      <color theme="1"/>
      <name val="Helvetica"/>
      <family val="2"/>
    </font>
    <font>
      <sz val="12"/>
      <color theme="1"/>
      <name val="Helvetica"/>
      <family val="2"/>
    </font>
    <font>
      <b/>
      <sz val="12"/>
      <color theme="1"/>
      <name val="Aptos Narrow"/>
      <family val="2"/>
      <scheme val="minor"/>
    </font>
    <font>
      <sz val="12"/>
      <color rgb="FF000000"/>
      <name val="Helvetica"/>
      <family val="2"/>
    </font>
    <font>
      <sz val="11"/>
      <color rgb="FF000000"/>
      <name val="Aptos"/>
    </font>
    <font>
      <b/>
      <sz val="9"/>
      <color rgb="FF000000"/>
      <name val="Tahoma"/>
      <family val="2"/>
    </font>
    <font>
      <sz val="9"/>
      <color rgb="FF000000"/>
      <name val="Tahoma"/>
      <family val="2"/>
    </font>
    <font>
      <sz val="10"/>
      <color rgb="FF000000"/>
      <name val="Tahoma"/>
      <family val="2"/>
    </font>
  </fonts>
  <fills count="5">
    <fill>
      <patternFill patternType="none"/>
    </fill>
    <fill>
      <patternFill patternType="gray125"/>
    </fill>
    <fill>
      <patternFill patternType="solid">
        <fgColor rgb="FF780002"/>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right/>
      <top/>
      <bottom style="medium">
        <color theme="0" tint="-0.14999847407452621"/>
      </bottom>
      <diagonal/>
    </border>
    <border>
      <left/>
      <right/>
      <top/>
      <bottom style="hair">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198">
    <xf numFmtId="0" fontId="0" fillId="0" borderId="0" xfId="0"/>
    <xf numFmtId="0" fontId="2" fillId="2" borderId="0" xfId="0" applyFont="1" applyFill="1" applyAlignment="1">
      <alignment horizontal="left" vertical="top" wrapText="1"/>
    </xf>
    <xf numFmtId="0" fontId="3" fillId="0" borderId="0" xfId="0" applyFont="1"/>
    <xf numFmtId="164" fontId="3" fillId="0" borderId="0" xfId="1" applyNumberFormat="1" applyFont="1" applyFill="1" applyBorder="1" applyProtection="1"/>
    <xf numFmtId="164" fontId="3" fillId="0" borderId="0" xfId="1" applyNumberFormat="1" applyFont="1" applyBorder="1" applyProtection="1"/>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38" fontId="4" fillId="2" borderId="0" xfId="0" applyNumberFormat="1" applyFont="1" applyFill="1" applyAlignment="1">
      <alignment horizontal="center" vertical="center" wrapText="1"/>
    </xf>
    <xf numFmtId="164" fontId="4" fillId="2" borderId="0" xfId="1" applyNumberFormat="1" applyFont="1" applyFill="1" applyBorder="1" applyAlignment="1" applyProtection="1">
      <alignment horizontal="center" vertical="center" wrapText="1"/>
    </xf>
    <xf numFmtId="0" fontId="5" fillId="0" borderId="0" xfId="0" applyFont="1"/>
    <xf numFmtId="0" fontId="5" fillId="0" borderId="0" xfId="0" applyFont="1" applyAlignment="1">
      <alignment vertical="top"/>
    </xf>
    <xf numFmtId="0" fontId="3" fillId="0" borderId="0" xfId="0" applyFont="1" applyAlignment="1">
      <alignment vertical="top" wrapText="1"/>
    </xf>
    <xf numFmtId="164" fontId="3" fillId="0" borderId="0" xfId="1" applyNumberFormat="1" applyFont="1" applyProtection="1"/>
    <xf numFmtId="164" fontId="3" fillId="3" borderId="0" xfId="1" applyNumberFormat="1" applyFont="1" applyFill="1" applyBorder="1" applyProtection="1"/>
    <xf numFmtId="164" fontId="3" fillId="0" borderId="0" xfId="1" applyNumberFormat="1" applyFont="1" applyFill="1" applyProtection="1"/>
    <xf numFmtId="0" fontId="6" fillId="0" borderId="0" xfId="0" applyFont="1"/>
    <xf numFmtId="0" fontId="6" fillId="0" borderId="0" xfId="0" applyFont="1" applyAlignment="1">
      <alignment vertical="top" wrapText="1"/>
    </xf>
    <xf numFmtId="164" fontId="7" fillId="0" borderId="0" xfId="1" applyNumberFormat="1" applyFont="1" applyFill="1" applyProtection="1"/>
    <xf numFmtId="164" fontId="6" fillId="0" borderId="0" xfId="1" applyNumberFormat="1" applyFont="1" applyProtection="1"/>
    <xf numFmtId="164" fontId="6" fillId="3" borderId="0" xfId="1" applyNumberFormat="1" applyFont="1" applyFill="1" applyBorder="1" applyProtection="1"/>
    <xf numFmtId="164" fontId="6" fillId="0" borderId="0" xfId="1" applyNumberFormat="1" applyFont="1" applyFill="1" applyProtection="1"/>
    <xf numFmtId="9" fontId="6" fillId="0" borderId="0" xfId="3" applyFont="1"/>
    <xf numFmtId="9" fontId="3" fillId="0" borderId="0" xfId="3" applyFont="1" applyFill="1" applyBorder="1" applyProtection="1"/>
    <xf numFmtId="9" fontId="3" fillId="0" borderId="0" xfId="3" applyFont="1" applyBorder="1" applyProtection="1"/>
    <xf numFmtId="165" fontId="3" fillId="3" borderId="0" xfId="3" applyNumberFormat="1" applyFont="1" applyFill="1" applyBorder="1" applyProtection="1"/>
    <xf numFmtId="9" fontId="3" fillId="3" borderId="0" xfId="3" applyFont="1" applyFill="1" applyBorder="1" applyProtection="1"/>
    <xf numFmtId="0" fontId="8" fillId="0" borderId="0" xfId="0" applyFont="1"/>
    <xf numFmtId="0" fontId="3" fillId="0" borderId="1" xfId="0" applyFont="1" applyBorder="1"/>
    <xf numFmtId="0" fontId="3" fillId="0" borderId="1" xfId="0" applyFont="1" applyBorder="1" applyAlignment="1">
      <alignment vertical="top" wrapText="1"/>
    </xf>
    <xf numFmtId="9" fontId="3" fillId="0" borderId="1" xfId="3" applyFont="1" applyFill="1" applyBorder="1" applyProtection="1"/>
    <xf numFmtId="9" fontId="3" fillId="0" borderId="1" xfId="3" applyFont="1" applyBorder="1" applyProtection="1"/>
    <xf numFmtId="164" fontId="9" fillId="3" borderId="0" xfId="1" applyNumberFormat="1" applyFont="1" applyFill="1" applyBorder="1" applyProtection="1"/>
    <xf numFmtId="164" fontId="6" fillId="3" borderId="0" xfId="1" applyNumberFormat="1" applyFont="1" applyFill="1" applyProtection="1"/>
    <xf numFmtId="164" fontId="7" fillId="3" borderId="0" xfId="1" applyNumberFormat="1" applyFont="1" applyFill="1" applyProtection="1"/>
    <xf numFmtId="164" fontId="9" fillId="0" borderId="0" xfId="1" applyNumberFormat="1" applyFont="1" applyFill="1" applyProtection="1"/>
    <xf numFmtId="164" fontId="9" fillId="0" borderId="0" xfId="1" applyNumberFormat="1" applyFont="1" applyProtection="1"/>
    <xf numFmtId="164" fontId="3" fillId="0" borderId="1" xfId="1" applyNumberFormat="1" applyFont="1" applyBorder="1" applyProtection="1"/>
    <xf numFmtId="164" fontId="3" fillId="0" borderId="1" xfId="1" applyNumberFormat="1" applyFont="1" applyFill="1" applyBorder="1" applyProtection="1"/>
    <xf numFmtId="164" fontId="3" fillId="0" borderId="0" xfId="1" applyNumberFormat="1" applyFont="1" applyFill="1" applyAlignment="1" applyProtection="1">
      <alignment horizontal="right"/>
    </xf>
    <xf numFmtId="164" fontId="3" fillId="0" borderId="0" xfId="1" applyNumberFormat="1" applyFont="1" applyAlignment="1" applyProtection="1">
      <alignment horizontal="right"/>
    </xf>
    <xf numFmtId="164" fontId="9" fillId="0" borderId="0" xfId="1" applyNumberFormat="1" applyFont="1" applyFill="1" applyBorder="1" applyProtection="1"/>
    <xf numFmtId="164" fontId="3" fillId="0" borderId="0" xfId="3" applyNumberFormat="1" applyFont="1" applyFill="1" applyBorder="1" applyProtection="1"/>
    <xf numFmtId="164" fontId="3" fillId="4" borderId="0" xfId="1" applyNumberFormat="1" applyFont="1" applyFill="1" applyProtection="1"/>
    <xf numFmtId="164" fontId="7" fillId="4" borderId="0" xfId="1" applyNumberFormat="1" applyFont="1" applyFill="1" applyProtection="1"/>
    <xf numFmtId="164" fontId="3" fillId="0" borderId="0" xfId="1" applyNumberFormat="1" applyFont="1" applyFill="1" applyAlignment="1" applyProtection="1">
      <alignment vertical="center" wrapText="1"/>
    </xf>
    <xf numFmtId="164" fontId="10" fillId="0" borderId="0" xfId="1" applyNumberFormat="1" applyFont="1" applyFill="1" applyProtection="1"/>
    <xf numFmtId="164" fontId="10" fillId="3" borderId="0" xfId="1" applyNumberFormat="1" applyFont="1" applyFill="1" applyBorder="1" applyProtection="1"/>
    <xf numFmtId="164" fontId="3" fillId="0" borderId="0" xfId="1" applyNumberFormat="1" applyFont="1" applyFill="1" applyAlignment="1" applyProtection="1">
      <alignment wrapText="1"/>
    </xf>
    <xf numFmtId="164" fontId="7" fillId="0" borderId="0" xfId="1" applyNumberFormat="1" applyFont="1" applyProtection="1"/>
    <xf numFmtId="165" fontId="6" fillId="0" borderId="0" xfId="3" applyNumberFormat="1" applyFont="1" applyFill="1" applyBorder="1" applyProtection="1"/>
    <xf numFmtId="165" fontId="6" fillId="0" borderId="0" xfId="3" applyNumberFormat="1" applyFont="1" applyBorder="1" applyProtection="1"/>
    <xf numFmtId="165" fontId="6" fillId="3" borderId="0" xfId="3" applyNumberFormat="1" applyFont="1" applyFill="1" applyBorder="1" applyProtection="1"/>
    <xf numFmtId="165" fontId="6" fillId="0" borderId="0" xfId="0" applyNumberFormat="1" applyFont="1"/>
    <xf numFmtId="0" fontId="6" fillId="0" borderId="0" xfId="0" applyFont="1" applyAlignment="1">
      <alignment wrapText="1"/>
    </xf>
    <xf numFmtId="9" fontId="6" fillId="0" borderId="0" xfId="3" applyFont="1" applyFill="1" applyBorder="1" applyProtection="1"/>
    <xf numFmtId="9" fontId="6" fillId="3" borderId="0" xfId="3" applyFont="1" applyFill="1" applyBorder="1" applyProtection="1"/>
    <xf numFmtId="165" fontId="3" fillId="0" borderId="0" xfId="0" applyNumberFormat="1" applyFont="1" applyAlignment="1">
      <alignment horizontal="left" vertical="top"/>
    </xf>
    <xf numFmtId="165" fontId="11" fillId="0" borderId="0" xfId="0" applyNumberFormat="1" applyFont="1" applyAlignment="1">
      <alignment horizontal="left" vertical="top"/>
    </xf>
    <xf numFmtId="164" fontId="6" fillId="0" borderId="0" xfId="1" applyNumberFormat="1" applyFont="1" applyAlignment="1" applyProtection="1">
      <alignment horizontal="center"/>
    </xf>
    <xf numFmtId="164" fontId="3" fillId="0" borderId="1" xfId="3" applyNumberFormat="1" applyFont="1" applyFill="1" applyBorder="1" applyProtection="1"/>
    <xf numFmtId="164" fontId="3" fillId="0" borderId="0" xfId="0" applyNumberFormat="1" applyFont="1"/>
    <xf numFmtId="3" fontId="3" fillId="0" borderId="0" xfId="0" applyNumberFormat="1" applyFont="1"/>
    <xf numFmtId="9" fontId="3" fillId="0" borderId="1" xfId="3" applyFont="1" applyFill="1" applyBorder="1" applyAlignment="1" applyProtection="1">
      <alignment horizontal="right" vertical="center"/>
    </xf>
    <xf numFmtId="43" fontId="3" fillId="0" borderId="1" xfId="1" applyFont="1" applyFill="1" applyBorder="1" applyProtection="1"/>
    <xf numFmtId="0" fontId="3" fillId="0" borderId="0" xfId="0" applyFont="1" applyAlignment="1">
      <alignment horizontal="right" vertical="center"/>
    </xf>
    <xf numFmtId="164" fontId="3" fillId="3" borderId="0" xfId="1" applyNumberFormat="1" applyFont="1" applyFill="1" applyBorder="1" applyAlignment="1" applyProtection="1">
      <alignment horizontal="center"/>
    </xf>
    <xf numFmtId="0" fontId="3" fillId="0" borderId="0" xfId="0" applyFont="1" applyAlignment="1">
      <alignment wrapText="1"/>
    </xf>
    <xf numFmtId="9" fontId="6" fillId="0" borderId="0" xfId="3" applyFont="1" applyBorder="1" applyProtection="1"/>
    <xf numFmtId="9" fontId="6" fillId="0" borderId="0" xfId="3" applyFont="1" applyFill="1" applyBorder="1" applyAlignment="1" applyProtection="1">
      <alignment horizontal="center"/>
    </xf>
    <xf numFmtId="166" fontId="9" fillId="0" borderId="0" xfId="2" applyNumberFormat="1" applyFont="1" applyProtection="1"/>
    <xf numFmtId="166" fontId="3" fillId="0" borderId="0" xfId="2" applyNumberFormat="1" applyFont="1" applyProtection="1"/>
    <xf numFmtId="166" fontId="3" fillId="3" borderId="0" xfId="2" applyNumberFormat="1" applyFont="1" applyFill="1" applyBorder="1" applyProtection="1"/>
    <xf numFmtId="166" fontId="3" fillId="0" borderId="0" xfId="2" applyNumberFormat="1" applyFont="1" applyFill="1" applyProtection="1"/>
    <xf numFmtId="9" fontId="9" fillId="0" borderId="0" xfId="3" applyFont="1" applyFill="1" applyBorder="1" applyAlignment="1" applyProtection="1"/>
    <xf numFmtId="9" fontId="9" fillId="0" borderId="0" xfId="3" applyFont="1" applyBorder="1" applyProtection="1"/>
    <xf numFmtId="9" fontId="9" fillId="3" borderId="0" xfId="3" applyFont="1" applyFill="1" applyBorder="1" applyAlignment="1" applyProtection="1"/>
    <xf numFmtId="0" fontId="8" fillId="0" borderId="0" xfId="0" applyFont="1" applyAlignment="1">
      <alignment horizontal="left"/>
    </xf>
    <xf numFmtId="0" fontId="12" fillId="0" borderId="0" xfId="0" applyFont="1"/>
    <xf numFmtId="0" fontId="13" fillId="0" borderId="0" xfId="0" applyFont="1"/>
    <xf numFmtId="43" fontId="3" fillId="0" borderId="0" xfId="0" applyNumberFormat="1" applyFont="1"/>
    <xf numFmtId="43" fontId="3" fillId="0" borderId="0" xfId="1" applyFont="1" applyProtection="1"/>
    <xf numFmtId="43" fontId="0" fillId="0" borderId="0" xfId="1" applyFont="1" applyFill="1" applyBorder="1" applyAlignment="1" applyProtection="1">
      <alignment horizontal="right"/>
    </xf>
    <xf numFmtId="43" fontId="3" fillId="3" borderId="0" xfId="1" applyFont="1" applyFill="1" applyProtection="1"/>
    <xf numFmtId="43" fontId="0" fillId="0" borderId="0" xfId="1" applyFont="1" applyFill="1" applyBorder="1" applyProtection="1"/>
    <xf numFmtId="43" fontId="0" fillId="3" borderId="0" xfId="1" applyFont="1" applyFill="1" applyBorder="1" applyProtection="1"/>
    <xf numFmtId="167" fontId="3" fillId="0" borderId="0" xfId="1" applyNumberFormat="1" applyFont="1" applyProtection="1"/>
    <xf numFmtId="167" fontId="3" fillId="3" borderId="0" xfId="1" applyNumberFormat="1" applyFont="1" applyFill="1" applyProtection="1"/>
    <xf numFmtId="168" fontId="3" fillId="0" borderId="0" xfId="1" applyNumberFormat="1" applyFont="1" applyProtection="1"/>
    <xf numFmtId="168" fontId="0" fillId="0" borderId="0" xfId="1" applyNumberFormat="1" applyFont="1" applyFill="1" applyBorder="1" applyAlignment="1" applyProtection="1">
      <alignment horizontal="right"/>
    </xf>
    <xf numFmtId="168" fontId="3" fillId="3" borderId="0" xfId="1" applyNumberFormat="1" applyFont="1" applyFill="1" applyProtection="1"/>
    <xf numFmtId="168" fontId="0" fillId="0" borderId="0" xfId="1" applyNumberFormat="1" applyFont="1" applyFill="1" applyBorder="1" applyProtection="1"/>
    <xf numFmtId="168" fontId="0" fillId="3" borderId="0" xfId="1" applyNumberFormat="1" applyFont="1" applyFill="1" applyBorder="1" applyProtection="1"/>
    <xf numFmtId="164" fontId="5" fillId="0" borderId="0" xfId="1" applyNumberFormat="1" applyFont="1" applyProtection="1"/>
    <xf numFmtId="164" fontId="5" fillId="3" borderId="0" xfId="1" applyNumberFormat="1" applyFont="1" applyFill="1" applyBorder="1" applyProtection="1"/>
    <xf numFmtId="0" fontId="14" fillId="0" borderId="0" xfId="0" applyFont="1"/>
    <xf numFmtId="0" fontId="7" fillId="0" borderId="0" xfId="0" applyFont="1" applyAlignment="1">
      <alignment vertical="top" wrapText="1"/>
    </xf>
    <xf numFmtId="0" fontId="15" fillId="0" borderId="0" xfId="0" applyFont="1" applyAlignment="1">
      <alignment vertical="top" wrapText="1"/>
    </xf>
    <xf numFmtId="164" fontId="3" fillId="3" borderId="0" xfId="2" applyNumberFormat="1" applyFont="1" applyFill="1" applyBorder="1" applyProtection="1"/>
    <xf numFmtId="164" fontId="3" fillId="0" borderId="0" xfId="2" applyNumberFormat="1" applyFont="1" applyProtection="1"/>
    <xf numFmtId="164" fontId="6" fillId="3" borderId="0" xfId="2" applyNumberFormat="1" applyFont="1" applyFill="1" applyBorder="1" applyProtection="1"/>
    <xf numFmtId="164" fontId="6" fillId="0" borderId="0" xfId="2" applyNumberFormat="1" applyFont="1" applyProtection="1"/>
    <xf numFmtId="9" fontId="3" fillId="0" borderId="0" xfId="3" applyFont="1" applyProtection="1"/>
    <xf numFmtId="9" fontId="3" fillId="3" borderId="0" xfId="3" applyFont="1" applyFill="1" applyProtection="1"/>
    <xf numFmtId="164" fontId="14" fillId="0" borderId="0" xfId="1" applyNumberFormat="1" applyFont="1" applyProtection="1"/>
    <xf numFmtId="164" fontId="14" fillId="3" borderId="0" xfId="1" applyNumberFormat="1" applyFont="1" applyFill="1" applyProtection="1"/>
    <xf numFmtId="0" fontId="14" fillId="0" borderId="0" xfId="0" applyFont="1" applyAlignment="1">
      <alignment vertical="top" wrapText="1"/>
    </xf>
    <xf numFmtId="166" fontId="6" fillId="0" borderId="0" xfId="2" applyNumberFormat="1" applyFont="1" applyProtection="1"/>
    <xf numFmtId="166" fontId="6" fillId="3" borderId="0" xfId="2" applyNumberFormat="1" applyFont="1" applyFill="1" applyProtection="1"/>
    <xf numFmtId="166" fontId="6" fillId="3" borderId="0" xfId="2" applyNumberFormat="1" applyFont="1" applyFill="1" applyBorder="1" applyProtection="1"/>
    <xf numFmtId="164" fontId="3" fillId="0" borderId="0" xfId="1" applyNumberFormat="1" applyFont="1"/>
    <xf numFmtId="43" fontId="3" fillId="0" borderId="0" xfId="1" applyFont="1"/>
    <xf numFmtId="169" fontId="16" fillId="0" borderId="0" xfId="0" applyNumberFormat="1" applyFont="1" applyAlignment="1">
      <alignment horizontal="left"/>
    </xf>
    <xf numFmtId="0" fontId="13" fillId="0" borderId="0" xfId="0" applyFont="1" applyAlignment="1">
      <alignment wrapText="1"/>
    </xf>
    <xf numFmtId="164" fontId="3" fillId="3" borderId="0" xfId="1" applyNumberFormat="1" applyFont="1" applyFill="1" applyBorder="1" applyAlignment="1" applyProtection="1">
      <alignment horizontal="right"/>
    </xf>
    <xf numFmtId="166" fontId="3" fillId="4" borderId="0" xfId="2" applyNumberFormat="1" applyFont="1" applyFill="1" applyAlignment="1" applyProtection="1">
      <alignment horizontal="right"/>
    </xf>
    <xf numFmtId="0" fontId="3" fillId="0" borderId="1" xfId="0" applyFont="1" applyBorder="1" applyAlignment="1">
      <alignment horizontal="right" vertical="top" wrapText="1"/>
    </xf>
    <xf numFmtId="43" fontId="17" fillId="0" borderId="0" xfId="1" applyFont="1" applyFill="1" applyBorder="1" applyAlignment="1" applyProtection="1">
      <alignment horizontal="right"/>
    </xf>
    <xf numFmtId="164" fontId="0" fillId="0" borderId="0" xfId="1" applyNumberFormat="1" applyFont="1" applyFill="1" applyBorder="1" applyProtection="1"/>
    <xf numFmtId="164" fontId="19" fillId="0" borderId="0" xfId="1" applyNumberFormat="1" applyFont="1" applyFill="1" applyBorder="1" applyProtection="1"/>
    <xf numFmtId="170" fontId="0" fillId="0" borderId="0" xfId="1" applyNumberFormat="1" applyFont="1" applyFill="1" applyBorder="1" applyProtection="1"/>
    <xf numFmtId="164" fontId="21" fillId="0" borderId="0" xfId="1" applyNumberFormat="1" applyFont="1" applyFill="1" applyBorder="1" applyProtection="1"/>
    <xf numFmtId="164" fontId="21" fillId="3" borderId="0" xfId="1" applyNumberFormat="1" applyFont="1" applyFill="1" applyBorder="1" applyProtection="1"/>
    <xf numFmtId="165" fontId="0" fillId="0" borderId="0" xfId="3" applyNumberFormat="1" applyFont="1" applyFill="1" applyBorder="1" applyProtection="1"/>
    <xf numFmtId="2" fontId="0" fillId="0" borderId="0" xfId="1" applyNumberFormat="1" applyFont="1" applyFill="1" applyBorder="1" applyProtection="1"/>
    <xf numFmtId="0" fontId="0" fillId="3" borderId="0" xfId="1" applyNumberFormat="1" applyFont="1" applyFill="1" applyBorder="1" applyProtection="1"/>
    <xf numFmtId="43" fontId="3" fillId="3" borderId="0" xfId="1" applyFont="1" applyFill="1" applyBorder="1" applyProtection="1"/>
    <xf numFmtId="0" fontId="5" fillId="0" borderId="0" xfId="0" applyFont="1" applyAlignment="1">
      <alignment vertical="top" wrapText="1"/>
    </xf>
    <xf numFmtId="43" fontId="5" fillId="0" borderId="0" xfId="1" applyFont="1" applyProtection="1"/>
    <xf numFmtId="43" fontId="5" fillId="3" borderId="0" xfId="1" applyFont="1" applyFill="1" applyProtection="1"/>
    <xf numFmtId="43" fontId="5" fillId="3" borderId="0" xfId="1" applyFont="1" applyFill="1" applyBorder="1" applyProtection="1"/>
    <xf numFmtId="9" fontId="0" fillId="0" borderId="0" xfId="1" applyNumberFormat="1" applyFont="1" applyFill="1" applyBorder="1" applyAlignment="1" applyProtection="1">
      <alignment horizontal="right"/>
    </xf>
    <xf numFmtId="9" fontId="3" fillId="3" borderId="0" xfId="1" applyNumberFormat="1" applyFont="1" applyFill="1" applyBorder="1" applyProtection="1"/>
    <xf numFmtId="9" fontId="3" fillId="0" borderId="1" xfId="0" applyNumberFormat="1" applyFont="1" applyBorder="1"/>
    <xf numFmtId="164" fontId="3" fillId="0" borderId="1" xfId="0" applyNumberFormat="1" applyFont="1" applyBorder="1"/>
    <xf numFmtId="0" fontId="24" fillId="0" borderId="0" xfId="0" applyFont="1"/>
    <xf numFmtId="0" fontId="25" fillId="0" borderId="0" xfId="0" applyFont="1"/>
    <xf numFmtId="0" fontId="0" fillId="0" borderId="0" xfId="0" applyAlignment="1">
      <alignment horizontal="left"/>
    </xf>
    <xf numFmtId="0" fontId="23" fillId="2" borderId="0" xfId="0" applyFont="1" applyFill="1" applyAlignment="1">
      <alignment horizontal="center" vertical="top" wrapText="1"/>
    </xf>
    <xf numFmtId="0" fontId="26" fillId="0" borderId="0" xfId="0" applyFont="1" applyAlignment="1">
      <alignment horizontal="left" vertical="top" wrapText="1"/>
    </xf>
    <xf numFmtId="164" fontId="3" fillId="0" borderId="0" xfId="1" applyNumberFormat="1" applyFont="1" applyAlignment="1" applyProtection="1">
      <alignment horizontal="center" vertical="center"/>
    </xf>
    <xf numFmtId="0" fontId="2" fillId="2" borderId="0" xfId="0" applyFont="1" applyFill="1" applyAlignment="1">
      <alignment horizontal="left" vertical="top" wrapText="1"/>
    </xf>
    <xf numFmtId="0" fontId="4" fillId="2" borderId="0" xfId="0" applyFont="1" applyFill="1" applyAlignment="1">
      <alignment horizontal="left" vertical="center" wrapText="1"/>
    </xf>
    <xf numFmtId="164" fontId="3" fillId="0" borderId="0" xfId="1" applyNumberFormat="1" applyFont="1" applyFill="1" applyAlignment="1" applyProtection="1">
      <alignment horizontal="center" vertical="center"/>
    </xf>
    <xf numFmtId="0" fontId="8" fillId="0" borderId="0" xfId="0" applyFont="1" applyAlignment="1">
      <alignment horizontal="left" wrapText="1"/>
    </xf>
    <xf numFmtId="164" fontId="0" fillId="0" borderId="0" xfId="1" applyNumberFormat="1" applyFont="1" applyFill="1" applyBorder="1" applyAlignment="1" applyProtection="1">
      <alignment horizontal="center" vertical="center"/>
    </xf>
    <xf numFmtId="44" fontId="3" fillId="0" borderId="0" xfId="0" applyNumberFormat="1" applyFont="1"/>
    <xf numFmtId="0" fontId="22" fillId="0" borderId="0" xfId="4" applyProtection="1"/>
    <xf numFmtId="164" fontId="4" fillId="2" borderId="0" xfId="1" applyNumberFormat="1" applyFont="1" applyFill="1" applyBorder="1" applyAlignment="1" applyProtection="1">
      <alignment horizontal="left" vertical="center" wrapText="1"/>
    </xf>
    <xf numFmtId="164" fontId="3" fillId="0" borderId="0" xfId="1" applyNumberFormat="1" applyFont="1" applyAlignment="1" applyProtection="1">
      <alignment horizontal="center"/>
    </xf>
    <xf numFmtId="0" fontId="3" fillId="0" borderId="0" xfId="0" applyFont="1" applyAlignment="1">
      <alignment horizontal="left" vertical="top" wrapText="1" indent="1"/>
    </xf>
    <xf numFmtId="0" fontId="8" fillId="0" borderId="0" xfId="0" applyFont="1" applyAlignment="1">
      <alignment vertical="top"/>
    </xf>
    <xf numFmtId="166" fontId="5" fillId="0" borderId="0" xfId="2" applyNumberFormat="1" applyFont="1" applyProtection="1"/>
    <xf numFmtId="166" fontId="3" fillId="0" borderId="1" xfId="3" applyNumberFormat="1" applyFont="1" applyFill="1" applyBorder="1" applyProtection="1"/>
    <xf numFmtId="166" fontId="8" fillId="0" borderId="0" xfId="2" applyNumberFormat="1" applyFont="1" applyProtection="1"/>
    <xf numFmtId="166" fontId="3" fillId="0" borderId="0" xfId="2" applyNumberFormat="1" applyFont="1" applyAlignment="1" applyProtection="1">
      <alignment horizontal="center"/>
    </xf>
    <xf numFmtId="43" fontId="3" fillId="0" borderId="1" xfId="1" applyFont="1" applyBorder="1" applyProtection="1"/>
    <xf numFmtId="166" fontId="3" fillId="0" borderId="0" xfId="2" applyNumberFormat="1" applyFont="1" applyAlignment="1" applyProtection="1">
      <alignment horizontal="center" vertical="center"/>
    </xf>
    <xf numFmtId="166" fontId="6" fillId="0" borderId="0" xfId="2" applyNumberFormat="1" applyFont="1" applyFill="1" applyProtection="1"/>
    <xf numFmtId="9" fontId="3" fillId="0" borderId="0" xfId="3" applyFont="1" applyFill="1" applyProtection="1"/>
    <xf numFmtId="166" fontId="14" fillId="3" borderId="0" xfId="2" applyNumberFormat="1" applyFont="1" applyFill="1" applyBorder="1" applyProtection="1"/>
    <xf numFmtId="164" fontId="3" fillId="0" borderId="0" xfId="1" applyNumberFormat="1" applyFont="1" applyAlignment="1" applyProtection="1">
      <alignment vertical="top" wrapText="1"/>
    </xf>
    <xf numFmtId="166" fontId="3" fillId="3" borderId="0" xfId="2" applyNumberFormat="1" applyFont="1" applyFill="1" applyProtection="1"/>
    <xf numFmtId="0" fontId="28" fillId="0" borderId="0" xfId="0" applyFont="1"/>
    <xf numFmtId="0" fontId="29" fillId="0" borderId="0" xfId="0" applyFont="1"/>
    <xf numFmtId="3" fontId="3" fillId="0" borderId="0" xfId="0" applyNumberFormat="1" applyFont="1" applyAlignment="1">
      <alignment horizontal="right"/>
    </xf>
    <xf numFmtId="0" fontId="3" fillId="0" borderId="0" xfId="0" applyFont="1" applyAlignment="1">
      <alignment horizontal="right"/>
    </xf>
    <xf numFmtId="43" fontId="6" fillId="0" borderId="0" xfId="1" applyFont="1" applyProtection="1"/>
    <xf numFmtId="43" fontId="6" fillId="3" borderId="0" xfId="1" applyFont="1" applyFill="1" applyProtection="1"/>
    <xf numFmtId="0" fontId="8" fillId="0" borderId="2" xfId="0" applyFont="1" applyBorder="1"/>
    <xf numFmtId="0" fontId="3" fillId="0" borderId="2" xfId="0" applyFont="1" applyBorder="1"/>
    <xf numFmtId="2" fontId="6" fillId="0" borderId="0" xfId="0" applyNumberFormat="1" applyFont="1"/>
    <xf numFmtId="2" fontId="3" fillId="0" borderId="0" xfId="0" applyNumberFormat="1" applyFont="1"/>
    <xf numFmtId="0" fontId="9" fillId="0" borderId="0" xfId="0" applyFont="1"/>
    <xf numFmtId="0" fontId="3" fillId="3" borderId="0" xfId="0" applyFont="1" applyFill="1"/>
    <xf numFmtId="9" fontId="14" fillId="0" borderId="0" xfId="3" applyFont="1"/>
    <xf numFmtId="166" fontId="3" fillId="0" borderId="0" xfId="0" applyNumberFormat="1" applyFont="1"/>
    <xf numFmtId="44" fontId="3" fillId="0" borderId="1" xfId="0" applyNumberFormat="1" applyFont="1" applyBorder="1" applyAlignment="1">
      <alignment vertical="top" wrapText="1"/>
    </xf>
    <xf numFmtId="166" fontId="3" fillId="0" borderId="1" xfId="0" applyNumberFormat="1" applyFont="1" applyBorder="1" applyAlignment="1">
      <alignment vertical="top" wrapText="1"/>
    </xf>
    <xf numFmtId="164" fontId="3" fillId="0" borderId="0" xfId="1" applyNumberFormat="1" applyFont="1" applyAlignment="1" applyProtection="1">
      <alignment vertical="top"/>
    </xf>
    <xf numFmtId="9" fontId="3" fillId="0" borderId="1" xfId="3" applyFont="1" applyBorder="1"/>
    <xf numFmtId="164" fontId="0" fillId="3" borderId="0" xfId="1" applyNumberFormat="1" applyFont="1" applyFill="1" applyBorder="1" applyProtection="1"/>
    <xf numFmtId="168" fontId="0" fillId="0" borderId="0" xfId="1" applyNumberFormat="1" applyFont="1" applyFill="1" applyBorder="1" applyAlignment="1" applyProtection="1">
      <alignment horizontal="right" vertical="center"/>
    </xf>
    <xf numFmtId="0" fontId="0" fillId="0" borderId="0" xfId="1" applyNumberFormat="1" applyFont="1" applyFill="1" applyBorder="1" applyProtection="1"/>
    <xf numFmtId="9" fontId="0" fillId="0" borderId="0" xfId="3" applyFont="1" applyFill="1" applyBorder="1" applyProtection="1"/>
    <xf numFmtId="9" fontId="0" fillId="3" borderId="0" xfId="3" applyFont="1" applyFill="1" applyBorder="1" applyProtection="1"/>
    <xf numFmtId="3" fontId="0" fillId="0" borderId="0" xfId="0" applyNumberFormat="1"/>
    <xf numFmtId="164" fontId="21" fillId="0" borderId="0" xfId="1" applyNumberFormat="1" applyFont="1" applyFill="1" applyBorder="1" applyAlignment="1" applyProtection="1">
      <alignment horizontal="center" vertical="center" wrapText="1"/>
    </xf>
    <xf numFmtId="3" fontId="27" fillId="0" borderId="0" xfId="0" applyNumberFormat="1" applyFont="1"/>
    <xf numFmtId="3" fontId="27" fillId="3" borderId="0" xfId="0" applyNumberFormat="1" applyFont="1" applyFill="1"/>
    <xf numFmtId="171" fontId="0" fillId="0" borderId="0" xfId="1" applyNumberFormat="1" applyFont="1" applyFill="1" applyBorder="1" applyProtection="1"/>
    <xf numFmtId="171" fontId="0" fillId="0" borderId="0" xfId="1" applyNumberFormat="1" applyFont="1" applyFill="1" applyBorder="1" applyAlignment="1" applyProtection="1">
      <alignment horizontal="right" vertical="center"/>
    </xf>
    <xf numFmtId="171" fontId="0" fillId="3" borderId="0" xfId="1" applyNumberFormat="1" applyFont="1" applyFill="1" applyBorder="1" applyProtection="1"/>
    <xf numFmtId="0" fontId="8" fillId="0" borderId="1" xfId="0" applyFont="1" applyBorder="1"/>
    <xf numFmtId="164" fontId="0" fillId="0" borderId="0" xfId="1" applyNumberFormat="1" applyFont="1" applyProtection="1"/>
    <xf numFmtId="164" fontId="0" fillId="3" borderId="0" xfId="1" applyNumberFormat="1" applyFont="1" applyFill="1" applyBorder="1" applyAlignment="1" applyProtection="1">
      <alignment horizontal="center" vertical="center"/>
    </xf>
    <xf numFmtId="165" fontId="10" fillId="0" borderId="0" xfId="0" applyNumberFormat="1" applyFont="1" applyAlignment="1">
      <alignment horizontal="left" vertical="top"/>
    </xf>
    <xf numFmtId="44" fontId="3" fillId="0" borderId="1" xfId="0" applyNumberFormat="1" applyFont="1" applyBorder="1"/>
    <xf numFmtId="0" fontId="22" fillId="0" borderId="0" xfId="4" applyAlignment="1" applyProtection="1">
      <alignment horizontal="left" vertical="top"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32-3D47-A009-0604D94243B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32-3D47-A009-0604D94243B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32-3D47-A009-0604D94243B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32-3D47-A009-0604D94243B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Workforce!$C$58:$C$61</c:f>
              <c:strCache>
                <c:ptCount val="4"/>
                <c:pt idx="0">
                  <c:v>% of Local Hires (municipality) </c:v>
                </c:pt>
                <c:pt idx="1">
                  <c:v>% of Local Hires (state) </c:v>
                </c:pt>
                <c:pt idx="2">
                  <c:v>% of Regional Hires (within the country) </c:v>
                </c:pt>
                <c:pt idx="3">
                  <c:v>% of International hires</c:v>
                </c:pt>
              </c:strCache>
            </c:strRef>
          </c:cat>
          <c:val>
            <c:numRef>
              <c:f>Workforce!$Q$58:$Q$61</c:f>
              <c:numCache>
                <c:formatCode>0%</c:formatCode>
                <c:ptCount val="4"/>
                <c:pt idx="0">
                  <c:v>0.52521334367726924</c:v>
                </c:pt>
                <c:pt idx="1">
                  <c:v>0.20791311093871218</c:v>
                </c:pt>
                <c:pt idx="2">
                  <c:v>0.25058184639255238</c:v>
                </c:pt>
                <c:pt idx="3">
                  <c:v>1.6291698991466253E-2</c:v>
                </c:pt>
              </c:numCache>
            </c:numRef>
          </c:val>
          <c:extLst>
            <c:ext xmlns:c16="http://schemas.microsoft.com/office/drawing/2014/chart" uri="{C3380CC4-5D6E-409C-BE32-E72D297353CC}">
              <c16:uniqueId val="{00000008-4132-3D47-A009-0604D94243B3}"/>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0</xdr:row>
      <xdr:rowOff>0</xdr:rowOff>
    </xdr:from>
    <xdr:to>
      <xdr:col>4</xdr:col>
      <xdr:colOff>350157</xdr:colOff>
      <xdr:row>4</xdr:row>
      <xdr:rowOff>177800</xdr:rowOff>
    </xdr:to>
    <xdr:pic>
      <xdr:nvPicPr>
        <xdr:cNvPr id="2" name="Picture 1">
          <a:extLst>
            <a:ext uri="{FF2B5EF4-FFF2-40B4-BE49-F238E27FC236}">
              <a16:creationId xmlns:a16="http://schemas.microsoft.com/office/drawing/2014/main" id="{9DA19FB9-3C0D-7640-BE5D-B25CF97DF9A4}"/>
            </a:ext>
          </a:extLst>
        </xdr:cNvPr>
        <xdr:cNvPicPr>
          <a:picLocks noChangeAspect="1"/>
        </xdr:cNvPicPr>
      </xdr:nvPicPr>
      <xdr:blipFill>
        <a:blip xmlns:r="http://schemas.openxmlformats.org/officeDocument/2006/relationships" r:embed="rId1"/>
        <a:stretch>
          <a:fillRect/>
        </a:stretch>
      </xdr:blipFill>
      <xdr:spPr>
        <a:xfrm>
          <a:off x="482600" y="0"/>
          <a:ext cx="2839357" cy="990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56</xdr:col>
      <xdr:colOff>630465</xdr:colOff>
      <xdr:row>53</xdr:row>
      <xdr:rowOff>66221</xdr:rowOff>
    </xdr:from>
    <xdr:to>
      <xdr:col>62</xdr:col>
      <xdr:colOff>249465</xdr:colOff>
      <xdr:row>77</xdr:row>
      <xdr:rowOff>176892</xdr:rowOff>
    </xdr:to>
    <xdr:graphicFrame macro="">
      <xdr:nvGraphicFramePr>
        <xdr:cNvPr id="2" name="Chart 1">
          <a:extLst>
            <a:ext uri="{FF2B5EF4-FFF2-40B4-BE49-F238E27FC236}">
              <a16:creationId xmlns:a16="http://schemas.microsoft.com/office/drawing/2014/main" id="{83758A70-F2CB-4D49-A579-439B472E9B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136071</xdr:colOff>
      <xdr:row>0</xdr:row>
      <xdr:rowOff>0</xdr:rowOff>
    </xdr:from>
    <xdr:to>
      <xdr:col>2</xdr:col>
      <xdr:colOff>2496457</xdr:colOff>
      <xdr:row>5</xdr:row>
      <xdr:rowOff>38100</xdr:rowOff>
    </xdr:to>
    <xdr:pic>
      <xdr:nvPicPr>
        <xdr:cNvPr id="3" name="Picture 2">
          <a:extLst>
            <a:ext uri="{FF2B5EF4-FFF2-40B4-BE49-F238E27FC236}">
              <a16:creationId xmlns:a16="http://schemas.microsoft.com/office/drawing/2014/main" id="{6FFAE49A-46FC-D74D-BC7F-7A7ECE8B2E32}"/>
            </a:ext>
          </a:extLst>
        </xdr:cNvPr>
        <xdr:cNvPicPr>
          <a:picLocks noChangeAspect="1"/>
        </xdr:cNvPicPr>
      </xdr:nvPicPr>
      <xdr:blipFill>
        <a:blip xmlns:r="http://schemas.openxmlformats.org/officeDocument/2006/relationships" r:embed="rId2"/>
        <a:stretch>
          <a:fillRect/>
        </a:stretch>
      </xdr:blipFill>
      <xdr:spPr>
        <a:xfrm>
          <a:off x="123371" y="0"/>
          <a:ext cx="2842986" cy="990600"/>
        </a:xfrm>
        <a:prstGeom prst="rect">
          <a:avLst/>
        </a:prstGeom>
      </xdr:spPr>
    </xdr:pic>
    <xdr:clientData/>
  </xdr:twoCellAnchor>
  <xdr:twoCellAnchor editAs="oneCell">
    <xdr:from>
      <xdr:col>0</xdr:col>
      <xdr:colOff>136071</xdr:colOff>
      <xdr:row>0</xdr:row>
      <xdr:rowOff>0</xdr:rowOff>
    </xdr:from>
    <xdr:to>
      <xdr:col>2</xdr:col>
      <xdr:colOff>2496457</xdr:colOff>
      <xdr:row>5</xdr:row>
      <xdr:rowOff>38100</xdr:rowOff>
    </xdr:to>
    <xdr:pic>
      <xdr:nvPicPr>
        <xdr:cNvPr id="4" name="Picture 3">
          <a:extLst>
            <a:ext uri="{FF2B5EF4-FFF2-40B4-BE49-F238E27FC236}">
              <a16:creationId xmlns:a16="http://schemas.microsoft.com/office/drawing/2014/main" id="{57BD1C56-74B4-2C46-A8CA-313F8BDCD3EE}"/>
            </a:ext>
          </a:extLst>
        </xdr:cNvPr>
        <xdr:cNvPicPr>
          <a:picLocks noChangeAspect="1"/>
        </xdr:cNvPicPr>
      </xdr:nvPicPr>
      <xdr:blipFill>
        <a:blip xmlns:r="http://schemas.openxmlformats.org/officeDocument/2006/relationships" r:embed="rId2"/>
        <a:stretch>
          <a:fillRect/>
        </a:stretch>
      </xdr:blipFill>
      <xdr:spPr>
        <a:xfrm>
          <a:off x="123371" y="0"/>
          <a:ext cx="2842986" cy="990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136071</xdr:colOff>
      <xdr:row>0</xdr:row>
      <xdr:rowOff>0</xdr:rowOff>
    </xdr:from>
    <xdr:to>
      <xdr:col>2</xdr:col>
      <xdr:colOff>2496457</xdr:colOff>
      <xdr:row>5</xdr:row>
      <xdr:rowOff>38100</xdr:rowOff>
    </xdr:to>
    <xdr:pic>
      <xdr:nvPicPr>
        <xdr:cNvPr id="2" name="Picture 1">
          <a:extLst>
            <a:ext uri="{FF2B5EF4-FFF2-40B4-BE49-F238E27FC236}">
              <a16:creationId xmlns:a16="http://schemas.microsoft.com/office/drawing/2014/main" id="{1623E992-0B98-C948-88D1-74154271CE9D}"/>
            </a:ext>
          </a:extLst>
        </xdr:cNvPr>
        <xdr:cNvPicPr>
          <a:picLocks noChangeAspect="1"/>
        </xdr:cNvPicPr>
      </xdr:nvPicPr>
      <xdr:blipFill>
        <a:blip xmlns:r="http://schemas.openxmlformats.org/officeDocument/2006/relationships" r:embed="rId1"/>
        <a:stretch>
          <a:fillRect/>
        </a:stretch>
      </xdr:blipFill>
      <xdr:spPr>
        <a:xfrm>
          <a:off x="123371" y="0"/>
          <a:ext cx="2842986" cy="990600"/>
        </a:xfrm>
        <a:prstGeom prst="rect">
          <a:avLst/>
        </a:prstGeom>
      </xdr:spPr>
    </xdr:pic>
    <xdr:clientData/>
  </xdr:twoCellAnchor>
  <xdr:twoCellAnchor editAs="oneCell">
    <xdr:from>
      <xdr:col>0</xdr:col>
      <xdr:colOff>136071</xdr:colOff>
      <xdr:row>0</xdr:row>
      <xdr:rowOff>0</xdr:rowOff>
    </xdr:from>
    <xdr:to>
      <xdr:col>2</xdr:col>
      <xdr:colOff>2496457</xdr:colOff>
      <xdr:row>5</xdr:row>
      <xdr:rowOff>38100</xdr:rowOff>
    </xdr:to>
    <xdr:pic>
      <xdr:nvPicPr>
        <xdr:cNvPr id="3" name="Picture 2">
          <a:extLst>
            <a:ext uri="{FF2B5EF4-FFF2-40B4-BE49-F238E27FC236}">
              <a16:creationId xmlns:a16="http://schemas.microsoft.com/office/drawing/2014/main" id="{52E17AC2-BC02-E74C-B937-B568615DA250}"/>
            </a:ext>
          </a:extLst>
        </xdr:cNvPr>
        <xdr:cNvPicPr>
          <a:picLocks noChangeAspect="1"/>
        </xdr:cNvPicPr>
      </xdr:nvPicPr>
      <xdr:blipFill>
        <a:blip xmlns:r="http://schemas.openxmlformats.org/officeDocument/2006/relationships" r:embed="rId1"/>
        <a:stretch>
          <a:fillRect/>
        </a:stretch>
      </xdr:blipFill>
      <xdr:spPr>
        <a:xfrm>
          <a:off x="123371" y="0"/>
          <a:ext cx="2842986" cy="990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136071</xdr:colOff>
      <xdr:row>0</xdr:row>
      <xdr:rowOff>0</xdr:rowOff>
    </xdr:from>
    <xdr:to>
      <xdr:col>2</xdr:col>
      <xdr:colOff>2496457</xdr:colOff>
      <xdr:row>5</xdr:row>
      <xdr:rowOff>38100</xdr:rowOff>
    </xdr:to>
    <xdr:pic>
      <xdr:nvPicPr>
        <xdr:cNvPr id="2" name="Picture 1">
          <a:extLst>
            <a:ext uri="{FF2B5EF4-FFF2-40B4-BE49-F238E27FC236}">
              <a16:creationId xmlns:a16="http://schemas.microsoft.com/office/drawing/2014/main" id="{23E8591C-7F70-BD4B-860E-3779DCCDDAAD}"/>
            </a:ext>
          </a:extLst>
        </xdr:cNvPr>
        <xdr:cNvPicPr>
          <a:picLocks noChangeAspect="1"/>
        </xdr:cNvPicPr>
      </xdr:nvPicPr>
      <xdr:blipFill>
        <a:blip xmlns:r="http://schemas.openxmlformats.org/officeDocument/2006/relationships" r:embed="rId1"/>
        <a:stretch>
          <a:fillRect/>
        </a:stretch>
      </xdr:blipFill>
      <xdr:spPr>
        <a:xfrm>
          <a:off x="123371" y="0"/>
          <a:ext cx="2842986" cy="990600"/>
        </a:xfrm>
        <a:prstGeom prst="rect">
          <a:avLst/>
        </a:prstGeom>
      </xdr:spPr>
    </xdr:pic>
    <xdr:clientData/>
  </xdr:twoCellAnchor>
  <xdr:twoCellAnchor editAs="oneCell">
    <xdr:from>
      <xdr:col>0</xdr:col>
      <xdr:colOff>136071</xdr:colOff>
      <xdr:row>0</xdr:row>
      <xdr:rowOff>0</xdr:rowOff>
    </xdr:from>
    <xdr:to>
      <xdr:col>2</xdr:col>
      <xdr:colOff>2496457</xdr:colOff>
      <xdr:row>5</xdr:row>
      <xdr:rowOff>38100</xdr:rowOff>
    </xdr:to>
    <xdr:pic>
      <xdr:nvPicPr>
        <xdr:cNvPr id="3" name="Picture 2">
          <a:extLst>
            <a:ext uri="{FF2B5EF4-FFF2-40B4-BE49-F238E27FC236}">
              <a16:creationId xmlns:a16="http://schemas.microsoft.com/office/drawing/2014/main" id="{7D3AAC48-C32E-4640-A3A5-949F3142511D}"/>
            </a:ext>
          </a:extLst>
        </xdr:cNvPr>
        <xdr:cNvPicPr>
          <a:picLocks noChangeAspect="1"/>
        </xdr:cNvPicPr>
      </xdr:nvPicPr>
      <xdr:blipFill>
        <a:blip xmlns:r="http://schemas.openxmlformats.org/officeDocument/2006/relationships" r:embed="rId1"/>
        <a:stretch>
          <a:fillRect/>
        </a:stretch>
      </xdr:blipFill>
      <xdr:spPr>
        <a:xfrm>
          <a:off x="123371" y="0"/>
          <a:ext cx="2842986" cy="990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136071</xdr:colOff>
      <xdr:row>0</xdr:row>
      <xdr:rowOff>0</xdr:rowOff>
    </xdr:from>
    <xdr:to>
      <xdr:col>2</xdr:col>
      <xdr:colOff>2496457</xdr:colOff>
      <xdr:row>5</xdr:row>
      <xdr:rowOff>38100</xdr:rowOff>
    </xdr:to>
    <xdr:pic>
      <xdr:nvPicPr>
        <xdr:cNvPr id="2" name="Picture 1">
          <a:extLst>
            <a:ext uri="{FF2B5EF4-FFF2-40B4-BE49-F238E27FC236}">
              <a16:creationId xmlns:a16="http://schemas.microsoft.com/office/drawing/2014/main" id="{FE24F1BA-CA7F-0441-AFC3-C11B98B8DAAB}"/>
            </a:ext>
          </a:extLst>
        </xdr:cNvPr>
        <xdr:cNvPicPr>
          <a:picLocks noChangeAspect="1"/>
        </xdr:cNvPicPr>
      </xdr:nvPicPr>
      <xdr:blipFill>
        <a:blip xmlns:r="http://schemas.openxmlformats.org/officeDocument/2006/relationships" r:embed="rId1"/>
        <a:stretch>
          <a:fillRect/>
        </a:stretch>
      </xdr:blipFill>
      <xdr:spPr>
        <a:xfrm>
          <a:off x="123371" y="0"/>
          <a:ext cx="2842986" cy="990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136071</xdr:colOff>
      <xdr:row>0</xdr:row>
      <xdr:rowOff>0</xdr:rowOff>
    </xdr:from>
    <xdr:to>
      <xdr:col>2</xdr:col>
      <xdr:colOff>2496457</xdr:colOff>
      <xdr:row>5</xdr:row>
      <xdr:rowOff>38100</xdr:rowOff>
    </xdr:to>
    <xdr:pic>
      <xdr:nvPicPr>
        <xdr:cNvPr id="2" name="Picture 1">
          <a:extLst>
            <a:ext uri="{FF2B5EF4-FFF2-40B4-BE49-F238E27FC236}">
              <a16:creationId xmlns:a16="http://schemas.microsoft.com/office/drawing/2014/main" id="{6F0046C9-8480-4F44-9F8E-CCAA835D1ACB}"/>
            </a:ext>
          </a:extLst>
        </xdr:cNvPr>
        <xdr:cNvPicPr>
          <a:picLocks noChangeAspect="1"/>
        </xdr:cNvPicPr>
      </xdr:nvPicPr>
      <xdr:blipFill>
        <a:blip xmlns:r="http://schemas.openxmlformats.org/officeDocument/2006/relationships" r:embed="rId1"/>
        <a:stretch>
          <a:fillRect/>
        </a:stretch>
      </xdr:blipFill>
      <xdr:spPr>
        <a:xfrm>
          <a:off x="123371" y="0"/>
          <a:ext cx="2842986" cy="990600"/>
        </a:xfrm>
        <a:prstGeom prst="rect">
          <a:avLst/>
        </a:prstGeom>
      </xdr:spPr>
    </xdr:pic>
    <xdr:clientData/>
  </xdr:twoCellAnchor>
  <xdr:twoCellAnchor editAs="oneCell">
    <xdr:from>
      <xdr:col>0</xdr:col>
      <xdr:colOff>136071</xdr:colOff>
      <xdr:row>0</xdr:row>
      <xdr:rowOff>0</xdr:rowOff>
    </xdr:from>
    <xdr:to>
      <xdr:col>2</xdr:col>
      <xdr:colOff>2496457</xdr:colOff>
      <xdr:row>5</xdr:row>
      <xdr:rowOff>38100</xdr:rowOff>
    </xdr:to>
    <xdr:pic>
      <xdr:nvPicPr>
        <xdr:cNvPr id="3" name="Picture 2">
          <a:extLst>
            <a:ext uri="{FF2B5EF4-FFF2-40B4-BE49-F238E27FC236}">
              <a16:creationId xmlns:a16="http://schemas.microsoft.com/office/drawing/2014/main" id="{EA25711F-66F2-524D-9F7D-C08ED361D4B3}"/>
            </a:ext>
          </a:extLst>
        </xdr:cNvPr>
        <xdr:cNvPicPr>
          <a:picLocks noChangeAspect="1"/>
        </xdr:cNvPicPr>
      </xdr:nvPicPr>
      <xdr:blipFill>
        <a:blip xmlns:r="http://schemas.openxmlformats.org/officeDocument/2006/relationships" r:embed="rId1"/>
        <a:stretch>
          <a:fillRect/>
        </a:stretch>
      </xdr:blipFill>
      <xdr:spPr>
        <a:xfrm>
          <a:off x="123371" y="0"/>
          <a:ext cx="2842986" cy="990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136071</xdr:colOff>
      <xdr:row>0</xdr:row>
      <xdr:rowOff>0</xdr:rowOff>
    </xdr:from>
    <xdr:to>
      <xdr:col>2</xdr:col>
      <xdr:colOff>2496457</xdr:colOff>
      <xdr:row>5</xdr:row>
      <xdr:rowOff>38100</xdr:rowOff>
    </xdr:to>
    <xdr:pic>
      <xdr:nvPicPr>
        <xdr:cNvPr id="2" name="Picture 1">
          <a:extLst>
            <a:ext uri="{FF2B5EF4-FFF2-40B4-BE49-F238E27FC236}">
              <a16:creationId xmlns:a16="http://schemas.microsoft.com/office/drawing/2014/main" id="{4969FBB0-B1EF-CA46-BEA4-E0E71C30AAEE}"/>
            </a:ext>
          </a:extLst>
        </xdr:cNvPr>
        <xdr:cNvPicPr>
          <a:picLocks noChangeAspect="1"/>
        </xdr:cNvPicPr>
      </xdr:nvPicPr>
      <xdr:blipFill>
        <a:blip xmlns:r="http://schemas.openxmlformats.org/officeDocument/2006/relationships" r:embed="rId1"/>
        <a:stretch>
          <a:fillRect/>
        </a:stretch>
      </xdr:blipFill>
      <xdr:spPr>
        <a:xfrm>
          <a:off x="123371" y="0"/>
          <a:ext cx="2842986" cy="990600"/>
        </a:xfrm>
        <a:prstGeom prst="rect">
          <a:avLst/>
        </a:prstGeom>
      </xdr:spPr>
    </xdr:pic>
    <xdr:clientData/>
  </xdr:twoCellAnchor>
  <xdr:twoCellAnchor editAs="oneCell">
    <xdr:from>
      <xdr:col>0</xdr:col>
      <xdr:colOff>136071</xdr:colOff>
      <xdr:row>0</xdr:row>
      <xdr:rowOff>0</xdr:rowOff>
    </xdr:from>
    <xdr:to>
      <xdr:col>2</xdr:col>
      <xdr:colOff>2496457</xdr:colOff>
      <xdr:row>5</xdr:row>
      <xdr:rowOff>38100</xdr:rowOff>
    </xdr:to>
    <xdr:pic>
      <xdr:nvPicPr>
        <xdr:cNvPr id="3" name="Picture 2">
          <a:extLst>
            <a:ext uri="{FF2B5EF4-FFF2-40B4-BE49-F238E27FC236}">
              <a16:creationId xmlns:a16="http://schemas.microsoft.com/office/drawing/2014/main" id="{B8EDA365-423B-E34D-A6D9-38C022F0A904}"/>
            </a:ext>
          </a:extLst>
        </xdr:cNvPr>
        <xdr:cNvPicPr>
          <a:picLocks noChangeAspect="1"/>
        </xdr:cNvPicPr>
      </xdr:nvPicPr>
      <xdr:blipFill>
        <a:blip xmlns:r="http://schemas.openxmlformats.org/officeDocument/2006/relationships" r:embed="rId1"/>
        <a:stretch>
          <a:fillRect/>
        </a:stretch>
      </xdr:blipFill>
      <xdr:spPr>
        <a:xfrm>
          <a:off x="123371" y="0"/>
          <a:ext cx="2842986" cy="990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136071</xdr:colOff>
      <xdr:row>0</xdr:row>
      <xdr:rowOff>0</xdr:rowOff>
    </xdr:from>
    <xdr:to>
      <xdr:col>2</xdr:col>
      <xdr:colOff>2496457</xdr:colOff>
      <xdr:row>5</xdr:row>
      <xdr:rowOff>29029</xdr:rowOff>
    </xdr:to>
    <xdr:pic>
      <xdr:nvPicPr>
        <xdr:cNvPr id="2" name="Picture 1">
          <a:extLst>
            <a:ext uri="{FF2B5EF4-FFF2-40B4-BE49-F238E27FC236}">
              <a16:creationId xmlns:a16="http://schemas.microsoft.com/office/drawing/2014/main" id="{85719F95-F5B5-7045-B021-519F7F4E00D9}"/>
            </a:ext>
          </a:extLst>
        </xdr:cNvPr>
        <xdr:cNvPicPr>
          <a:picLocks noChangeAspect="1"/>
        </xdr:cNvPicPr>
      </xdr:nvPicPr>
      <xdr:blipFill>
        <a:blip xmlns:r="http://schemas.openxmlformats.org/officeDocument/2006/relationships" r:embed="rId1"/>
        <a:stretch>
          <a:fillRect/>
        </a:stretch>
      </xdr:blipFill>
      <xdr:spPr>
        <a:xfrm>
          <a:off x="123371" y="0"/>
          <a:ext cx="2842986" cy="994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ednaaguinaga/Library/CloudStorage/OneDrive-EndeavourSilverCorp/Sustainability/EDR%20Disclosures/GRI%20Sustainabilty%20Report/GRI%20Report%202023/KPIs%20spanish%202023V3.xlsx" TargetMode="External"/><Relationship Id="rId1" Type="http://schemas.openxmlformats.org/officeDocument/2006/relationships/externalLinkPath" Target="/Users/ednaaguinaga/Library/CloudStorage/OneDrive-EndeavourSilverCorp/Sustainability/EDR%20Disclosures/GRI%20Sustainabilty%20Report/GRI%20Report%202023/KPIs%20spanish%202023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raphics"/>
      <sheetName val="Fuerza laboral"/>
      <sheetName val="Energia y emisiones"/>
      <sheetName val="Jales y Residuos"/>
      <sheetName val="Agua y Biodiversidad"/>
      <sheetName val="Introduccion"/>
      <sheetName val="Negocio"/>
      <sheetName val="Seguridad y Salud"/>
      <sheetName val="Relaciones comunitarias"/>
    </sheetNames>
    <sheetDataSet>
      <sheetData sheetId="0"/>
      <sheetData sheetId="1"/>
      <sheetData sheetId="2"/>
      <sheetData sheetId="3"/>
      <sheetData sheetId="4"/>
      <sheetData sheetId="5"/>
      <sheetData sheetId="6">
        <row r="11">
          <cell r="D11">
            <v>433409</v>
          </cell>
          <cell r="E11">
            <v>440973</v>
          </cell>
          <cell r="K11">
            <v>874382</v>
          </cell>
          <cell r="L11">
            <v>412303</v>
          </cell>
          <cell r="M11">
            <v>422239</v>
          </cell>
          <cell r="S11">
            <v>834542</v>
          </cell>
          <cell r="T11">
            <v>414355</v>
          </cell>
          <cell r="U11">
            <v>418514</v>
          </cell>
          <cell r="W11">
            <v>54555</v>
          </cell>
          <cell r="AA11">
            <v>887424</v>
          </cell>
          <cell r="AB11">
            <v>346679</v>
          </cell>
          <cell r="AC11">
            <v>331174</v>
          </cell>
          <cell r="AE11">
            <v>79307</v>
          </cell>
          <cell r="AH11">
            <v>757160</v>
          </cell>
        </row>
        <row r="14">
          <cell r="D14">
            <v>6301637</v>
          </cell>
          <cell r="E14">
            <v>2399706</v>
          </cell>
          <cell r="K14">
            <v>8701343</v>
          </cell>
          <cell r="L14">
            <v>6599353</v>
          </cell>
          <cell r="M14">
            <v>2367932</v>
          </cell>
          <cell r="S14">
            <v>8967285</v>
          </cell>
          <cell r="T14">
            <v>5398927</v>
          </cell>
          <cell r="U14">
            <v>2463572</v>
          </cell>
          <cell r="W14">
            <v>389248</v>
          </cell>
          <cell r="AA14">
            <v>8251747</v>
          </cell>
          <cell r="AB14">
            <v>3856195</v>
          </cell>
          <cell r="AC14">
            <v>1870358</v>
          </cell>
          <cell r="AE14">
            <v>758334</v>
          </cell>
          <cell r="AH14">
            <v>6484887</v>
          </cell>
        </row>
      </sheetData>
      <sheetData sheetId="7">
        <row r="59">
          <cell r="D59">
            <v>9364</v>
          </cell>
          <cell r="E59">
            <v>17114</v>
          </cell>
          <cell r="F59">
            <v>1077</v>
          </cell>
        </row>
        <row r="60">
          <cell r="D60">
            <v>1382</v>
          </cell>
          <cell r="E60">
            <v>794</v>
          </cell>
          <cell r="F60">
            <v>222</v>
          </cell>
        </row>
        <row r="62">
          <cell r="D62">
            <v>6421</v>
          </cell>
          <cell r="E62">
            <v>16414</v>
          </cell>
          <cell r="F62">
            <v>587</v>
          </cell>
        </row>
        <row r="63">
          <cell r="D63">
            <v>4325</v>
          </cell>
          <cell r="E63">
            <v>1494</v>
          </cell>
          <cell r="F63">
            <v>712</v>
          </cell>
        </row>
        <row r="70">
          <cell r="D70">
            <v>2471</v>
          </cell>
          <cell r="E70">
            <v>2549</v>
          </cell>
          <cell r="F70">
            <v>1289</v>
          </cell>
        </row>
        <row r="71">
          <cell r="D71">
            <v>586</v>
          </cell>
          <cell r="E71">
            <v>269</v>
          </cell>
          <cell r="F71">
            <v>131</v>
          </cell>
        </row>
        <row r="79">
          <cell r="D79">
            <v>13803</v>
          </cell>
          <cell r="E79">
            <v>20726</v>
          </cell>
          <cell r="F79">
            <v>2719</v>
          </cell>
        </row>
      </sheetData>
      <sheetData sheetId="8">
        <row r="15">
          <cell r="H15">
            <v>0</v>
          </cell>
          <cell r="J15">
            <v>220861.57222</v>
          </cell>
          <cell r="K15">
            <v>99784.935819999999</v>
          </cell>
          <cell r="L15">
            <v>19713.717949999998</v>
          </cell>
          <cell r="M15">
            <v>23322.375400000001</v>
          </cell>
          <cell r="N15">
            <v>69484.989091356052</v>
          </cell>
        </row>
      </sheetData>
    </sheetDataSet>
  </externalBook>
</externalLink>
</file>

<file path=xl/persons/person.xml><?xml version="1.0" encoding="utf-8"?>
<personList xmlns="http://schemas.microsoft.com/office/spreadsheetml/2018/threadedcomments" xmlns:x="http://schemas.openxmlformats.org/spreadsheetml/2006/main">
  <person displayName="Edna Aguiñaga" id="{AAF6F1E2-48B7-D143-95FB-A2054C1E0F1B}" userId="S::edna@edrsilver.com::604c5685-e3f2-445c-a2a8-53ed7c89d78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L37" dT="2024-05-05T16:11:52.63" personId="{AAF6F1E2-48B7-D143-95FB-A2054C1E0F1B}" id="{F3EDD6B8-FB57-614F-B58D-D82E94D2FC22}">
    <text>I added this number to match what we had in the 2022 report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drsilver.com/sustainability/reports-resources/202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0BB9-63E7-C94E-B259-E8F117392D64}">
  <sheetPr codeName="Sheet1"/>
  <dimension ref="B7:J16"/>
  <sheetViews>
    <sheetView showGridLines="0" tabSelected="1" zoomScaleNormal="100" workbookViewId="0">
      <selection activeCell="B7" sqref="B7:J7"/>
    </sheetView>
  </sheetViews>
  <sheetFormatPr baseColWidth="10" defaultColWidth="11" defaultRowHeight="16"/>
  <cols>
    <col min="1" max="1" width="4" customWidth="1"/>
    <col min="2" max="10" width="11.6640625" customWidth="1"/>
    <col min="11" max="11" width="10.6640625" customWidth="1"/>
  </cols>
  <sheetData>
    <row r="7" spans="2:10" ht="24" customHeight="1">
      <c r="B7" s="137" t="s">
        <v>416</v>
      </c>
      <c r="C7" s="137"/>
      <c r="D7" s="137"/>
      <c r="E7" s="137"/>
      <c r="F7" s="137"/>
      <c r="G7" s="137"/>
      <c r="H7" s="137"/>
      <c r="I7" s="137"/>
      <c r="J7" s="137"/>
    </row>
    <row r="8" spans="2:10" ht="17" customHeight="1">
      <c r="B8" s="134"/>
    </row>
    <row r="9" spans="2:10" ht="23">
      <c r="B9" s="135" t="s">
        <v>414</v>
      </c>
    </row>
    <row r="11" spans="2:10" ht="75" customHeight="1">
      <c r="B11" s="138" t="s">
        <v>408</v>
      </c>
      <c r="C11" s="138"/>
      <c r="D11" s="138"/>
      <c r="E11" s="138"/>
      <c r="F11" s="138"/>
      <c r="G11" s="138"/>
      <c r="H11" s="138"/>
      <c r="I11" s="138"/>
      <c r="J11" s="138"/>
    </row>
    <row r="12" spans="2:10" ht="104" customHeight="1">
      <c r="B12" s="138" t="s">
        <v>409</v>
      </c>
      <c r="C12" s="138"/>
      <c r="D12" s="138"/>
      <c r="E12" s="138"/>
      <c r="F12" s="138"/>
      <c r="G12" s="138"/>
      <c r="H12" s="138"/>
      <c r="I12" s="138"/>
      <c r="J12" s="138"/>
    </row>
    <row r="13" spans="2:10" ht="77" customHeight="1">
      <c r="B13" s="138" t="s">
        <v>410</v>
      </c>
      <c r="C13" s="138"/>
      <c r="D13" s="138"/>
      <c r="E13" s="138"/>
      <c r="F13" s="138"/>
      <c r="G13" s="138"/>
      <c r="H13" s="138"/>
      <c r="I13" s="138"/>
      <c r="J13" s="138"/>
    </row>
    <row r="14" spans="2:10" ht="59" customHeight="1">
      <c r="B14" s="138" t="s">
        <v>411</v>
      </c>
      <c r="C14" s="138"/>
      <c r="D14" s="138"/>
      <c r="E14" s="138"/>
      <c r="F14" s="138"/>
      <c r="G14" s="138"/>
      <c r="H14" s="138"/>
      <c r="I14" s="138"/>
      <c r="J14" s="138"/>
    </row>
    <row r="15" spans="2:10" ht="25" customHeight="1">
      <c r="B15" s="197" t="s">
        <v>412</v>
      </c>
      <c r="C15" s="197"/>
      <c r="D15" s="197"/>
      <c r="E15" s="197"/>
      <c r="F15" s="197"/>
      <c r="G15" s="197"/>
      <c r="H15" s="197"/>
      <c r="I15" s="197"/>
      <c r="J15" s="197"/>
    </row>
    <row r="16" spans="2:10" s="136" customFormat="1" ht="26" customHeight="1">
      <c r="B16" s="138" t="s">
        <v>413</v>
      </c>
      <c r="C16" s="138"/>
      <c r="D16" s="138"/>
      <c r="E16" s="138"/>
      <c r="F16" s="138"/>
      <c r="G16" s="138"/>
      <c r="H16" s="138"/>
      <c r="I16" s="138"/>
      <c r="J16" s="138"/>
    </row>
  </sheetData>
  <sheetProtection algorithmName="SHA-512" hashValue="nhwvXiWxcm+frR1xwYiIoUwCLV/AfIUr+Qx8IHMwcx82jfiAQ31iMyPp7+e3j4f0miXb8gz5nwvdd9rEqFKGkA==" saltValue="c4gALv77yAw5S/M6bWuprw==" spinCount="100000" sheet="1" objects="1" scenarios="1"/>
  <mergeCells count="7">
    <mergeCell ref="B16:J16"/>
    <mergeCell ref="B7:J7"/>
    <mergeCell ref="B11:J11"/>
    <mergeCell ref="B12:J12"/>
    <mergeCell ref="B13:J13"/>
    <mergeCell ref="B14:J14"/>
    <mergeCell ref="B15:J15"/>
  </mergeCells>
  <hyperlinks>
    <hyperlink ref="B15:J15" r:id="rId1" display="Visit our Sustainability Reporting Hub for further information. " xr:uid="{F89B5044-46FD-534B-8031-1837893D853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9A185-0A22-0245-A091-E427FBF08ADF}">
  <sheetPr codeName="Sheet2"/>
  <dimension ref="B7:AA1025"/>
  <sheetViews>
    <sheetView showGridLines="0" topLeftCell="A18" zoomScaleNormal="100" workbookViewId="0">
      <selection activeCell="AD54" sqref="AD54"/>
    </sheetView>
  </sheetViews>
  <sheetFormatPr baseColWidth="10" defaultColWidth="10.83203125" defaultRowHeight="15"/>
  <cols>
    <col min="1" max="1" width="1.6640625" style="2" customWidth="1"/>
    <col min="2" max="2" width="4.5" style="2" customWidth="1"/>
    <col min="3" max="3" width="49.5" style="2" customWidth="1"/>
    <col min="4" max="7" width="10.83203125" style="2" customWidth="1"/>
    <col min="8" max="8" width="12.1640625" style="2" customWidth="1"/>
    <col min="9" max="9" width="10.83203125" style="2" customWidth="1"/>
    <col min="10" max="10" width="10.83203125" style="3" customWidth="1"/>
    <col min="11" max="14" width="10.83203125" style="2" hidden="1" customWidth="1"/>
    <col min="15" max="15" width="12.1640625" style="2" hidden="1" customWidth="1"/>
    <col min="16" max="16" width="10.83203125" style="2" hidden="1" customWidth="1"/>
    <col min="17" max="17" width="10.83203125" style="3" customWidth="1"/>
    <col min="18" max="24" width="10.83203125" style="2" hidden="1" customWidth="1"/>
    <col min="25" max="25" width="10.83203125" style="4"/>
    <col min="26" max="16384" width="10.83203125" style="2"/>
  </cols>
  <sheetData>
    <row r="7" spans="2:26" ht="21" customHeight="1">
      <c r="B7" s="140" t="s">
        <v>415</v>
      </c>
      <c r="C7" s="140"/>
    </row>
    <row r="9" spans="2:26" s="9" customFormat="1" ht="20" customHeight="1">
      <c r="B9" s="141" t="s">
        <v>71</v>
      </c>
      <c r="C9" s="141"/>
      <c r="D9" s="6" t="s">
        <v>0</v>
      </c>
      <c r="E9" s="6" t="s">
        <v>1</v>
      </c>
      <c r="F9" s="6" t="s">
        <v>2</v>
      </c>
      <c r="G9" s="7" t="s">
        <v>3</v>
      </c>
      <c r="H9" s="7" t="s">
        <v>4</v>
      </c>
      <c r="I9" s="7" t="s">
        <v>5</v>
      </c>
      <c r="J9" s="7" t="s">
        <v>6</v>
      </c>
      <c r="K9" s="6" t="s">
        <v>0</v>
      </c>
      <c r="L9" s="6" t="s">
        <v>1</v>
      </c>
      <c r="M9" s="6" t="s">
        <v>2</v>
      </c>
      <c r="N9" s="7" t="s">
        <v>3</v>
      </c>
      <c r="O9" s="7" t="s">
        <v>4</v>
      </c>
      <c r="P9" s="7" t="s">
        <v>5</v>
      </c>
      <c r="Q9" s="7" t="s">
        <v>7</v>
      </c>
      <c r="R9" s="7" t="s">
        <v>8</v>
      </c>
      <c r="S9" s="7" t="s">
        <v>9</v>
      </c>
      <c r="T9" s="7" t="s">
        <v>10</v>
      </c>
      <c r="U9" s="7" t="s">
        <v>11</v>
      </c>
      <c r="V9" s="7" t="s">
        <v>12</v>
      </c>
      <c r="W9" s="7" t="s">
        <v>13</v>
      </c>
      <c r="X9" s="7" t="s">
        <v>14</v>
      </c>
      <c r="Y9" s="8" t="s">
        <v>15</v>
      </c>
    </row>
    <row r="10" spans="2:26">
      <c r="B10" s="10" t="s">
        <v>72</v>
      </c>
      <c r="C10" s="11"/>
      <c r="J10" s="2"/>
      <c r="Q10" s="2"/>
      <c r="Y10" s="2"/>
    </row>
    <row r="11" spans="2:26" ht="16">
      <c r="C11" s="11" t="s">
        <v>73</v>
      </c>
      <c r="D11" s="12">
        <v>469</v>
      </c>
      <c r="E11" s="12">
        <v>466</v>
      </c>
      <c r="F11" s="12">
        <v>105</v>
      </c>
      <c r="G11" s="12">
        <v>51</v>
      </c>
      <c r="H11" s="12">
        <v>67</v>
      </c>
      <c r="I11" s="12">
        <v>9</v>
      </c>
      <c r="J11" s="13">
        <f>SUM(D11:I11)</f>
        <v>1167</v>
      </c>
      <c r="K11" s="12">
        <v>451</v>
      </c>
      <c r="L11" s="12">
        <v>466</v>
      </c>
      <c r="M11" s="12">
        <v>52</v>
      </c>
      <c r="N11" s="12">
        <v>50</v>
      </c>
      <c r="O11" s="12">
        <f>37+22</f>
        <v>59</v>
      </c>
      <c r="P11" s="12">
        <f>11+7</f>
        <v>18</v>
      </c>
      <c r="Q11" s="13">
        <f>SUM(K11:P11)</f>
        <v>1096</v>
      </c>
      <c r="R11" s="14">
        <v>469</v>
      </c>
      <c r="S11" s="14">
        <v>456</v>
      </c>
      <c r="T11" s="14">
        <v>41</v>
      </c>
      <c r="U11" s="14">
        <v>2</v>
      </c>
      <c r="V11" s="14">
        <v>38</v>
      </c>
      <c r="W11" s="14">
        <v>44</v>
      </c>
      <c r="X11" s="14">
        <v>25</v>
      </c>
      <c r="Y11" s="13">
        <f>SUM(R11:X11)</f>
        <v>1075</v>
      </c>
    </row>
    <row r="12" spans="2:26" ht="16">
      <c r="C12" s="11" t="s">
        <v>74</v>
      </c>
      <c r="D12" s="12">
        <v>93</v>
      </c>
      <c r="E12" s="12">
        <v>38</v>
      </c>
      <c r="F12" s="12">
        <v>21</v>
      </c>
      <c r="G12" s="12">
        <v>32</v>
      </c>
      <c r="H12" s="12">
        <v>14</v>
      </c>
      <c r="I12" s="12">
        <v>10</v>
      </c>
      <c r="J12" s="13">
        <f>SUM(D12:I12)</f>
        <v>208</v>
      </c>
      <c r="K12" s="12">
        <v>86</v>
      </c>
      <c r="L12" s="12">
        <v>37</v>
      </c>
      <c r="M12" s="12">
        <v>17</v>
      </c>
      <c r="N12" s="12">
        <v>32</v>
      </c>
      <c r="O12" s="12">
        <f>9+5</f>
        <v>14</v>
      </c>
      <c r="P12" s="12">
        <v>7</v>
      </c>
      <c r="Q12" s="13">
        <f>SUM(K12:P12)</f>
        <v>193</v>
      </c>
      <c r="R12" s="14">
        <v>79</v>
      </c>
      <c r="S12" s="14">
        <v>36</v>
      </c>
      <c r="T12" s="14">
        <v>20</v>
      </c>
      <c r="U12" s="14">
        <v>0</v>
      </c>
      <c r="V12" s="14">
        <v>30</v>
      </c>
      <c r="W12" s="14">
        <v>11</v>
      </c>
      <c r="X12" s="14">
        <v>8</v>
      </c>
      <c r="Y12" s="13">
        <f>SUM(R12:X12)</f>
        <v>184</v>
      </c>
    </row>
    <row r="13" spans="2:26" s="15" customFormat="1" ht="16">
      <c r="C13" s="16" t="s">
        <v>75</v>
      </c>
      <c r="D13" s="17">
        <f t="shared" ref="D13:F13" si="0">SUM(D11:D12)</f>
        <v>562</v>
      </c>
      <c r="E13" s="17">
        <f t="shared" si="0"/>
        <v>504</v>
      </c>
      <c r="F13" s="17">
        <f t="shared" si="0"/>
        <v>126</v>
      </c>
      <c r="G13" s="17">
        <f>SUM(G11:G12)</f>
        <v>83</v>
      </c>
      <c r="H13" s="17">
        <f t="shared" ref="H13:Y13" si="1">SUM(H11:H12)</f>
        <v>81</v>
      </c>
      <c r="I13" s="18">
        <f t="shared" si="1"/>
        <v>19</v>
      </c>
      <c r="J13" s="19">
        <f t="shared" si="1"/>
        <v>1375</v>
      </c>
      <c r="K13" s="18">
        <f t="shared" si="1"/>
        <v>537</v>
      </c>
      <c r="L13" s="18">
        <f t="shared" si="1"/>
        <v>503</v>
      </c>
      <c r="M13" s="18">
        <f t="shared" si="1"/>
        <v>69</v>
      </c>
      <c r="N13" s="18">
        <f>SUM(N11:N12)</f>
        <v>82</v>
      </c>
      <c r="O13" s="18">
        <f t="shared" si="1"/>
        <v>73</v>
      </c>
      <c r="P13" s="18">
        <f t="shared" si="1"/>
        <v>25</v>
      </c>
      <c r="Q13" s="19">
        <f t="shared" si="1"/>
        <v>1289</v>
      </c>
      <c r="R13" s="20">
        <f t="shared" si="1"/>
        <v>548</v>
      </c>
      <c r="S13" s="20">
        <f t="shared" si="1"/>
        <v>492</v>
      </c>
      <c r="T13" s="20">
        <f t="shared" si="1"/>
        <v>61</v>
      </c>
      <c r="U13" s="20">
        <f>SUM(U11:U12)</f>
        <v>2</v>
      </c>
      <c r="V13" s="20">
        <f>SUM(V11:V12)</f>
        <v>68</v>
      </c>
      <c r="W13" s="20">
        <f t="shared" si="1"/>
        <v>55</v>
      </c>
      <c r="X13" s="20">
        <f t="shared" si="1"/>
        <v>33</v>
      </c>
      <c r="Y13" s="19">
        <f t="shared" si="1"/>
        <v>1259</v>
      </c>
      <c r="Z13" s="21"/>
    </row>
    <row r="14" spans="2:26" ht="16" customHeight="1">
      <c r="C14" s="11" t="s">
        <v>76</v>
      </c>
      <c r="D14" s="22">
        <f>D12/D13</f>
        <v>0.16548042704626334</v>
      </c>
      <c r="E14" s="22">
        <f t="shared" ref="E14:F14" si="2">E12/E13</f>
        <v>7.5396825396825393E-2</v>
      </c>
      <c r="F14" s="22">
        <f t="shared" si="2"/>
        <v>0.16666666666666666</v>
      </c>
      <c r="G14" s="23">
        <f>G12/G13</f>
        <v>0.38554216867469882</v>
      </c>
      <c r="H14" s="22">
        <f t="shared" ref="H14:J14" si="3">H12/H13</f>
        <v>0.1728395061728395</v>
      </c>
      <c r="I14" s="22">
        <f t="shared" si="3"/>
        <v>0.52631578947368418</v>
      </c>
      <c r="J14" s="24">
        <f t="shared" si="3"/>
        <v>0.15127272727272728</v>
      </c>
      <c r="K14" s="22">
        <f>K12/K13</f>
        <v>0.16014897579143389</v>
      </c>
      <c r="L14" s="22">
        <f t="shared" ref="L14:Y14" si="4">L12/L13</f>
        <v>7.3558648111332003E-2</v>
      </c>
      <c r="M14" s="22">
        <f t="shared" si="4"/>
        <v>0.24637681159420291</v>
      </c>
      <c r="N14" s="23">
        <f>N12/N13</f>
        <v>0.3902439024390244</v>
      </c>
      <c r="O14" s="22">
        <f t="shared" si="4"/>
        <v>0.19178082191780821</v>
      </c>
      <c r="P14" s="22">
        <f t="shared" si="4"/>
        <v>0.28000000000000003</v>
      </c>
      <c r="Q14" s="24">
        <f t="shared" si="4"/>
        <v>0.14972847168347556</v>
      </c>
      <c r="R14" s="22">
        <f t="shared" si="4"/>
        <v>0.14416058394160583</v>
      </c>
      <c r="S14" s="22">
        <f t="shared" si="4"/>
        <v>7.3170731707317069E-2</v>
      </c>
      <c r="T14" s="22">
        <f t="shared" si="4"/>
        <v>0.32786885245901637</v>
      </c>
      <c r="U14" s="22">
        <f>U12/U13</f>
        <v>0</v>
      </c>
      <c r="V14" s="22">
        <f>V12/V13</f>
        <v>0.44117647058823528</v>
      </c>
      <c r="W14" s="22">
        <f t="shared" si="4"/>
        <v>0.2</v>
      </c>
      <c r="X14" s="22">
        <f t="shared" si="4"/>
        <v>0.24242424242424243</v>
      </c>
      <c r="Y14" s="25">
        <f t="shared" si="4"/>
        <v>0.14614773629864972</v>
      </c>
    </row>
    <row r="15" spans="2:26">
      <c r="B15" s="26" t="s">
        <v>77</v>
      </c>
      <c r="J15" s="2"/>
      <c r="Q15" s="2"/>
      <c r="Y15" s="2"/>
    </row>
    <row r="16" spans="2:26" ht="16" customHeight="1" thickBot="1">
      <c r="B16" s="27"/>
      <c r="C16" s="28"/>
      <c r="D16" s="29"/>
      <c r="E16" s="29"/>
      <c r="F16" s="29"/>
      <c r="G16" s="30"/>
      <c r="H16" s="29"/>
      <c r="I16" s="29"/>
      <c r="J16" s="29"/>
      <c r="K16" s="29"/>
      <c r="L16" s="29"/>
      <c r="M16" s="29"/>
      <c r="N16" s="30"/>
      <c r="O16" s="29"/>
      <c r="P16" s="29"/>
      <c r="Q16" s="29"/>
      <c r="R16" s="29"/>
      <c r="S16" s="29"/>
      <c r="T16" s="29"/>
      <c r="U16" s="29"/>
      <c r="V16" s="29"/>
      <c r="W16" s="29"/>
      <c r="X16" s="29"/>
      <c r="Y16" s="29"/>
      <c r="Z16" s="22"/>
    </row>
    <row r="17" spans="2:27">
      <c r="B17" s="10" t="s">
        <v>78</v>
      </c>
      <c r="C17" s="11"/>
      <c r="J17" s="2"/>
      <c r="Q17" s="2"/>
      <c r="Y17" s="2"/>
    </row>
    <row r="18" spans="2:27" ht="16">
      <c r="C18" s="11" t="s">
        <v>79</v>
      </c>
      <c r="D18" s="12">
        <v>335</v>
      </c>
      <c r="E18" s="12">
        <v>187</v>
      </c>
      <c r="F18" s="12">
        <v>348</v>
      </c>
      <c r="G18" s="12">
        <v>4</v>
      </c>
      <c r="H18" s="12">
        <v>0</v>
      </c>
      <c r="I18" s="12">
        <v>0</v>
      </c>
      <c r="J18" s="13">
        <f>SUM(D18:I18)</f>
        <v>874</v>
      </c>
      <c r="K18" s="12">
        <v>259</v>
      </c>
      <c r="L18" s="12">
        <v>135</v>
      </c>
      <c r="M18" s="12">
        <v>131</v>
      </c>
      <c r="N18" s="12">
        <v>0</v>
      </c>
      <c r="O18" s="12">
        <v>0</v>
      </c>
      <c r="P18" s="12">
        <v>0</v>
      </c>
      <c r="Q18" s="13">
        <f>SUM(K18:P18)</f>
        <v>525</v>
      </c>
      <c r="R18" s="14">
        <v>297</v>
      </c>
      <c r="S18" s="14">
        <v>154</v>
      </c>
      <c r="T18" s="14">
        <v>22</v>
      </c>
      <c r="U18" s="14">
        <v>0</v>
      </c>
      <c r="V18" s="14">
        <v>0</v>
      </c>
      <c r="W18" s="14">
        <v>0</v>
      </c>
      <c r="X18" s="14">
        <v>0</v>
      </c>
      <c r="Y18" s="31">
        <v>468</v>
      </c>
    </row>
    <row r="19" spans="2:27" ht="16" customHeight="1">
      <c r="C19" s="11" t="s">
        <v>80</v>
      </c>
      <c r="D19" s="12">
        <v>21</v>
      </c>
      <c r="E19" s="12">
        <v>10</v>
      </c>
      <c r="F19" s="12">
        <v>43</v>
      </c>
      <c r="G19" s="12">
        <v>7</v>
      </c>
      <c r="H19" s="12">
        <v>0</v>
      </c>
      <c r="I19" s="12">
        <v>0</v>
      </c>
      <c r="J19" s="13">
        <f>SUM(D19:I19)</f>
        <v>81</v>
      </c>
      <c r="K19" s="12">
        <v>22</v>
      </c>
      <c r="L19" s="12">
        <v>4</v>
      </c>
      <c r="M19" s="12">
        <v>15</v>
      </c>
      <c r="N19" s="12">
        <v>0</v>
      </c>
      <c r="O19" s="12">
        <v>0</v>
      </c>
      <c r="P19" s="12">
        <v>0</v>
      </c>
      <c r="Q19" s="13">
        <f>SUM(K19:P19)</f>
        <v>41</v>
      </c>
      <c r="R19" s="14">
        <v>18</v>
      </c>
      <c r="S19" s="14">
        <v>2</v>
      </c>
      <c r="T19" s="14">
        <v>0</v>
      </c>
      <c r="U19" s="14">
        <v>0</v>
      </c>
      <c r="V19" s="14">
        <v>0</v>
      </c>
      <c r="W19" s="14">
        <v>0</v>
      </c>
      <c r="X19" s="14">
        <v>0</v>
      </c>
      <c r="Y19" s="31">
        <v>25</v>
      </c>
    </row>
    <row r="20" spans="2:27" s="15" customFormat="1" ht="17" customHeight="1">
      <c r="C20" s="16" t="s">
        <v>81</v>
      </c>
      <c r="D20" s="18">
        <f>SUM(D18:D19)</f>
        <v>356</v>
      </c>
      <c r="E20" s="18">
        <f t="shared" ref="E20:F20" si="5">SUM(E18:E19)</f>
        <v>197</v>
      </c>
      <c r="F20" s="18">
        <f t="shared" si="5"/>
        <v>391</v>
      </c>
      <c r="G20" s="18">
        <f>SUM(G18:G19)</f>
        <v>11</v>
      </c>
      <c r="H20" s="18">
        <f t="shared" ref="H20:J20" si="6">SUM(H18:H19)</f>
        <v>0</v>
      </c>
      <c r="I20" s="18">
        <f t="shared" si="6"/>
        <v>0</v>
      </c>
      <c r="J20" s="19">
        <f t="shared" si="6"/>
        <v>955</v>
      </c>
      <c r="K20" s="18">
        <f>SUM(K18:K19)</f>
        <v>281</v>
      </c>
      <c r="L20" s="18">
        <f t="shared" ref="L20:Y20" si="7">SUM(L18:L19)</f>
        <v>139</v>
      </c>
      <c r="M20" s="18">
        <f t="shared" si="7"/>
        <v>146</v>
      </c>
      <c r="N20" s="18">
        <f>SUM(N18:N19)</f>
        <v>0</v>
      </c>
      <c r="O20" s="18">
        <f t="shared" si="7"/>
        <v>0</v>
      </c>
      <c r="P20" s="18">
        <f t="shared" si="7"/>
        <v>0</v>
      </c>
      <c r="Q20" s="19">
        <f t="shared" si="7"/>
        <v>566</v>
      </c>
      <c r="R20" s="20">
        <f t="shared" si="7"/>
        <v>315</v>
      </c>
      <c r="S20" s="20">
        <f t="shared" si="7"/>
        <v>156</v>
      </c>
      <c r="T20" s="20">
        <f t="shared" si="7"/>
        <v>22</v>
      </c>
      <c r="U20" s="20">
        <f>SUM(U18:U19)</f>
        <v>0</v>
      </c>
      <c r="V20" s="20">
        <f>SUM(V18:V19)</f>
        <v>0</v>
      </c>
      <c r="W20" s="20">
        <f t="shared" si="7"/>
        <v>0</v>
      </c>
      <c r="X20" s="20">
        <f t="shared" si="7"/>
        <v>0</v>
      </c>
      <c r="Y20" s="19">
        <f t="shared" si="7"/>
        <v>493</v>
      </c>
      <c r="Z20" s="21"/>
    </row>
    <row r="21" spans="2:27" ht="16" customHeight="1">
      <c r="C21" s="11" t="s">
        <v>82</v>
      </c>
      <c r="D21" s="22">
        <f>+D19/D20</f>
        <v>5.8988764044943819E-2</v>
      </c>
      <c r="E21" s="22">
        <f t="shared" ref="E21:F21" si="8">+E19/E20</f>
        <v>5.0761421319796954E-2</v>
      </c>
      <c r="F21" s="22">
        <f t="shared" si="8"/>
        <v>0.10997442455242967</v>
      </c>
      <c r="G21" s="22">
        <v>0</v>
      </c>
      <c r="H21" s="22">
        <v>0</v>
      </c>
      <c r="I21" s="22">
        <v>0</v>
      </c>
      <c r="J21" s="25">
        <f t="shared" ref="J21" si="9">+J19/J20</f>
        <v>8.4816753926701571E-2</v>
      </c>
      <c r="K21" s="22">
        <f>+K19/K20</f>
        <v>7.8291814946619215E-2</v>
      </c>
      <c r="L21" s="22">
        <f t="shared" ref="L21:Y21" si="10">+L19/L20</f>
        <v>2.8776978417266189E-2</v>
      </c>
      <c r="M21" s="22">
        <f t="shared" si="10"/>
        <v>0.10273972602739725</v>
      </c>
      <c r="N21" s="22">
        <v>0</v>
      </c>
      <c r="O21" s="22">
        <v>0</v>
      </c>
      <c r="P21" s="22">
        <v>0</v>
      </c>
      <c r="Q21" s="25">
        <f t="shared" si="10"/>
        <v>7.2438162544169613E-2</v>
      </c>
      <c r="R21" s="22">
        <f t="shared" si="10"/>
        <v>5.7142857142857141E-2</v>
      </c>
      <c r="S21" s="22">
        <f t="shared" si="10"/>
        <v>1.282051282051282E-2</v>
      </c>
      <c r="T21" s="22">
        <f t="shared" si="10"/>
        <v>0</v>
      </c>
      <c r="U21" s="22" t="e">
        <f>+U19/U20</f>
        <v>#DIV/0!</v>
      </c>
      <c r="V21" s="22" t="e">
        <f>+V19/V20</f>
        <v>#DIV/0!</v>
      </c>
      <c r="W21" s="22" t="e">
        <f t="shared" si="10"/>
        <v>#DIV/0!</v>
      </c>
      <c r="X21" s="22" t="e">
        <f t="shared" si="10"/>
        <v>#DIV/0!</v>
      </c>
      <c r="Y21" s="25">
        <f t="shared" si="10"/>
        <v>5.0709939148073022E-2</v>
      </c>
    </row>
    <row r="22" spans="2:27" ht="16" customHeight="1" thickBot="1">
      <c r="B22" s="27"/>
      <c r="C22" s="28"/>
      <c r="D22" s="29"/>
      <c r="E22" s="29"/>
      <c r="F22" s="29"/>
      <c r="G22" s="30"/>
      <c r="H22" s="29"/>
      <c r="I22" s="29"/>
      <c r="J22" s="29"/>
      <c r="K22" s="29"/>
      <c r="L22" s="29"/>
      <c r="M22" s="29"/>
      <c r="N22" s="30"/>
      <c r="O22" s="29"/>
      <c r="P22" s="29"/>
      <c r="Q22" s="29"/>
      <c r="R22" s="29"/>
      <c r="S22" s="29"/>
      <c r="T22" s="29"/>
      <c r="U22" s="29"/>
      <c r="V22" s="29"/>
      <c r="W22" s="29"/>
      <c r="X22" s="29"/>
      <c r="Y22" s="29"/>
      <c r="Z22" s="22"/>
    </row>
    <row r="23" spans="2:27">
      <c r="B23" s="10" t="s">
        <v>83</v>
      </c>
      <c r="C23" s="11"/>
      <c r="J23" s="2"/>
      <c r="Q23" s="2"/>
      <c r="Y23" s="2"/>
    </row>
    <row r="24" spans="2:27" ht="16" customHeight="1">
      <c r="C24" s="11" t="s">
        <v>84</v>
      </c>
      <c r="D24" s="12">
        <v>804</v>
      </c>
      <c r="E24" s="12">
        <v>653</v>
      </c>
      <c r="F24" s="12">
        <v>453</v>
      </c>
      <c r="G24" s="12">
        <v>55</v>
      </c>
      <c r="H24" s="12">
        <v>67</v>
      </c>
      <c r="I24" s="12">
        <v>9</v>
      </c>
      <c r="J24" s="13">
        <f t="shared" ref="J24:J25" si="11">J18+J11</f>
        <v>2041</v>
      </c>
      <c r="K24" s="12">
        <f>K18+K11</f>
        <v>710</v>
      </c>
      <c r="L24" s="12">
        <f t="shared" ref="L24:Y25" si="12">L18+L11</f>
        <v>601</v>
      </c>
      <c r="M24" s="12">
        <f t="shared" si="12"/>
        <v>183</v>
      </c>
      <c r="N24" s="12">
        <f t="shared" si="12"/>
        <v>50</v>
      </c>
      <c r="O24" s="12">
        <f t="shared" si="12"/>
        <v>59</v>
      </c>
      <c r="P24" s="12">
        <f t="shared" si="12"/>
        <v>18</v>
      </c>
      <c r="Q24" s="13">
        <f t="shared" si="12"/>
        <v>1621</v>
      </c>
      <c r="R24" s="14">
        <f t="shared" si="12"/>
        <v>766</v>
      </c>
      <c r="S24" s="14">
        <f t="shared" si="12"/>
        <v>610</v>
      </c>
      <c r="T24" s="14">
        <f t="shared" si="12"/>
        <v>63</v>
      </c>
      <c r="U24" s="14">
        <f t="shared" si="12"/>
        <v>2</v>
      </c>
      <c r="V24" s="14">
        <f t="shared" si="12"/>
        <v>38</v>
      </c>
      <c r="W24" s="14">
        <f t="shared" si="12"/>
        <v>44</v>
      </c>
      <c r="X24" s="14">
        <f t="shared" si="12"/>
        <v>25</v>
      </c>
      <c r="Y24" s="13">
        <f t="shared" si="12"/>
        <v>1543</v>
      </c>
    </row>
    <row r="25" spans="2:27" ht="16" customHeight="1">
      <c r="C25" s="11" t="s">
        <v>85</v>
      </c>
      <c r="D25" s="12">
        <v>114</v>
      </c>
      <c r="E25" s="12">
        <v>48</v>
      </c>
      <c r="F25" s="12">
        <v>64</v>
      </c>
      <c r="G25" s="12">
        <v>39</v>
      </c>
      <c r="H25" s="12">
        <v>14</v>
      </c>
      <c r="I25" s="12">
        <v>10</v>
      </c>
      <c r="J25" s="13">
        <f t="shared" si="11"/>
        <v>289</v>
      </c>
      <c r="K25" s="12">
        <f>K19+K12</f>
        <v>108</v>
      </c>
      <c r="L25" s="12">
        <f t="shared" si="12"/>
        <v>41</v>
      </c>
      <c r="M25" s="12">
        <f t="shared" si="12"/>
        <v>32</v>
      </c>
      <c r="N25" s="12">
        <f t="shared" si="12"/>
        <v>32</v>
      </c>
      <c r="O25" s="12">
        <f t="shared" si="12"/>
        <v>14</v>
      </c>
      <c r="P25" s="12">
        <f t="shared" si="12"/>
        <v>7</v>
      </c>
      <c r="Q25" s="13">
        <f t="shared" si="12"/>
        <v>234</v>
      </c>
      <c r="R25" s="14">
        <f t="shared" si="12"/>
        <v>97</v>
      </c>
      <c r="S25" s="14">
        <f t="shared" si="12"/>
        <v>38</v>
      </c>
      <c r="T25" s="14">
        <f t="shared" si="12"/>
        <v>20</v>
      </c>
      <c r="U25" s="14">
        <f t="shared" si="12"/>
        <v>0</v>
      </c>
      <c r="V25" s="14">
        <f t="shared" si="12"/>
        <v>30</v>
      </c>
      <c r="W25" s="14">
        <f t="shared" si="12"/>
        <v>11</v>
      </c>
      <c r="X25" s="14">
        <f t="shared" si="12"/>
        <v>8</v>
      </c>
      <c r="Y25" s="13">
        <f t="shared" si="12"/>
        <v>209</v>
      </c>
    </row>
    <row r="26" spans="2:27" s="15" customFormat="1" ht="16" customHeight="1">
      <c r="C26" s="16" t="s">
        <v>86</v>
      </c>
      <c r="D26" s="18">
        <f>SUM(D24:D25)</f>
        <v>918</v>
      </c>
      <c r="E26" s="18">
        <f t="shared" ref="E26:J26" si="13">SUM(E24:E25)</f>
        <v>701</v>
      </c>
      <c r="F26" s="18">
        <f t="shared" si="13"/>
        <v>517</v>
      </c>
      <c r="G26" s="18">
        <f t="shared" si="13"/>
        <v>94</v>
      </c>
      <c r="H26" s="18">
        <f t="shared" si="13"/>
        <v>81</v>
      </c>
      <c r="I26" s="18">
        <f t="shared" si="13"/>
        <v>19</v>
      </c>
      <c r="J26" s="32">
        <f t="shared" si="13"/>
        <v>2330</v>
      </c>
      <c r="K26" s="18">
        <f>SUM(K24:K25)</f>
        <v>818</v>
      </c>
      <c r="L26" s="18">
        <f t="shared" ref="L26:Y26" si="14">SUM(L24:L25)</f>
        <v>642</v>
      </c>
      <c r="M26" s="18">
        <f t="shared" si="14"/>
        <v>215</v>
      </c>
      <c r="N26" s="18">
        <f t="shared" si="14"/>
        <v>82</v>
      </c>
      <c r="O26" s="18">
        <f t="shared" si="14"/>
        <v>73</v>
      </c>
      <c r="P26" s="18">
        <f t="shared" si="14"/>
        <v>25</v>
      </c>
      <c r="Q26" s="32">
        <f t="shared" si="14"/>
        <v>1855</v>
      </c>
      <c r="R26" s="20">
        <f t="shared" si="14"/>
        <v>863</v>
      </c>
      <c r="S26" s="20">
        <f t="shared" si="14"/>
        <v>648</v>
      </c>
      <c r="T26" s="20">
        <f t="shared" si="14"/>
        <v>83</v>
      </c>
      <c r="U26" s="20">
        <f t="shared" si="14"/>
        <v>2</v>
      </c>
      <c r="V26" s="20">
        <f t="shared" si="14"/>
        <v>68</v>
      </c>
      <c r="W26" s="20">
        <f t="shared" si="14"/>
        <v>55</v>
      </c>
      <c r="X26" s="20">
        <f t="shared" si="14"/>
        <v>33</v>
      </c>
      <c r="Y26" s="32">
        <f t="shared" si="14"/>
        <v>1752</v>
      </c>
    </row>
    <row r="27" spans="2:27" ht="16" customHeight="1">
      <c r="C27" s="11" t="s">
        <v>87</v>
      </c>
      <c r="D27" s="2">
        <v>0</v>
      </c>
      <c r="E27" s="2">
        <v>0</v>
      </c>
      <c r="F27" s="2">
        <v>0</v>
      </c>
      <c r="G27" s="2">
        <v>0</v>
      </c>
      <c r="H27" s="2">
        <v>0</v>
      </c>
      <c r="I27" s="2">
        <v>0</v>
      </c>
      <c r="J27" s="13">
        <v>0</v>
      </c>
      <c r="K27" s="2">
        <v>0</v>
      </c>
      <c r="L27" s="2">
        <v>0</v>
      </c>
      <c r="M27" s="2">
        <v>0</v>
      </c>
      <c r="N27" s="2">
        <v>0</v>
      </c>
      <c r="O27" s="2">
        <v>0</v>
      </c>
      <c r="P27" s="2">
        <v>0</v>
      </c>
      <c r="Q27" s="13">
        <v>0</v>
      </c>
      <c r="S27" s="2">
        <v>0</v>
      </c>
      <c r="T27" s="2">
        <v>0</v>
      </c>
      <c r="U27" s="2">
        <v>0</v>
      </c>
      <c r="V27" s="2">
        <v>1</v>
      </c>
      <c r="W27" s="2">
        <v>0</v>
      </c>
      <c r="X27" s="2">
        <v>0</v>
      </c>
      <c r="Y27" s="13">
        <v>0</v>
      </c>
    </row>
    <row r="28" spans="2:27" ht="16" customHeight="1" thickBot="1">
      <c r="B28" s="27"/>
      <c r="C28" s="28"/>
      <c r="D28" s="27"/>
      <c r="E28" s="27"/>
      <c r="F28" s="27"/>
      <c r="G28" s="27"/>
      <c r="H28" s="27"/>
      <c r="I28" s="27"/>
      <c r="J28" s="27"/>
      <c r="K28" s="27"/>
      <c r="L28" s="27"/>
      <c r="M28" s="27"/>
      <c r="N28" s="27"/>
      <c r="O28" s="27"/>
      <c r="P28" s="27"/>
      <c r="Q28" s="27"/>
      <c r="R28" s="27"/>
      <c r="S28" s="27"/>
      <c r="T28" s="27"/>
      <c r="U28" s="27"/>
      <c r="V28" s="27"/>
      <c r="W28" s="27"/>
      <c r="X28" s="27"/>
      <c r="Y28" s="29"/>
      <c r="Z28" s="22"/>
      <c r="AA28" s="22"/>
    </row>
    <row r="29" spans="2:27">
      <c r="B29" s="10" t="s">
        <v>88</v>
      </c>
      <c r="C29" s="11"/>
      <c r="J29" s="2"/>
      <c r="Q29" s="2"/>
      <c r="Y29" s="2"/>
    </row>
    <row r="30" spans="2:27" ht="17" customHeight="1">
      <c r="C30" s="11" t="s">
        <v>89</v>
      </c>
      <c r="D30" s="14">
        <v>462</v>
      </c>
      <c r="E30" s="14">
        <v>463</v>
      </c>
      <c r="F30" s="14">
        <v>60</v>
      </c>
      <c r="G30" s="34">
        <v>47</v>
      </c>
      <c r="H30" s="34">
        <v>66</v>
      </c>
      <c r="I30" s="14">
        <v>9</v>
      </c>
      <c r="J30" s="13">
        <f>SUM(D30:I30)</f>
        <v>1107</v>
      </c>
      <c r="K30" s="12">
        <v>468</v>
      </c>
      <c r="L30" s="12">
        <v>460</v>
      </c>
      <c r="M30" s="12">
        <f>7+36+8</f>
        <v>51</v>
      </c>
      <c r="N30" s="35">
        <v>50</v>
      </c>
      <c r="O30" s="35">
        <f>41+20</f>
        <v>61</v>
      </c>
      <c r="P30" s="12">
        <f>12+12</f>
        <v>24</v>
      </c>
      <c r="Q30" s="13">
        <f>SUM(K30:P30)</f>
        <v>1114</v>
      </c>
      <c r="R30" s="14">
        <v>467</v>
      </c>
      <c r="S30" s="14">
        <v>394</v>
      </c>
      <c r="T30" s="14">
        <v>22</v>
      </c>
      <c r="U30" s="14">
        <v>109</v>
      </c>
      <c r="V30" s="14" t="s">
        <v>16</v>
      </c>
      <c r="W30" s="14" t="s">
        <v>16</v>
      </c>
      <c r="X30" s="14" t="s">
        <v>16</v>
      </c>
      <c r="Y30" s="31">
        <f>SUM(R30:X30)</f>
        <v>992</v>
      </c>
    </row>
    <row r="31" spans="2:27" ht="18" customHeight="1">
      <c r="C31" s="11" t="s">
        <v>90</v>
      </c>
      <c r="D31" s="14">
        <v>87</v>
      </c>
      <c r="E31" s="14">
        <v>36</v>
      </c>
      <c r="F31" s="14">
        <v>17</v>
      </c>
      <c r="G31" s="34">
        <v>32</v>
      </c>
      <c r="H31" s="34">
        <v>16</v>
      </c>
      <c r="I31" s="14">
        <v>10</v>
      </c>
      <c r="J31" s="13">
        <f>SUM(D31:I31)</f>
        <v>198</v>
      </c>
      <c r="K31" s="12">
        <v>83</v>
      </c>
      <c r="L31" s="12">
        <v>38</v>
      </c>
      <c r="M31" s="12">
        <f>7+12</f>
        <v>19</v>
      </c>
      <c r="N31" s="35">
        <v>33</v>
      </c>
      <c r="O31" s="35">
        <f>10+4</f>
        <v>14</v>
      </c>
      <c r="P31" s="12">
        <f>8+1</f>
        <v>9</v>
      </c>
      <c r="Q31" s="13">
        <f>SUM(K31:P31)</f>
        <v>196</v>
      </c>
      <c r="R31" s="14">
        <v>74</v>
      </c>
      <c r="S31" s="14">
        <v>33</v>
      </c>
      <c r="T31" s="14">
        <v>9</v>
      </c>
      <c r="U31" s="14">
        <v>10</v>
      </c>
      <c r="V31" s="14" t="s">
        <v>16</v>
      </c>
      <c r="W31" s="14" t="s">
        <v>16</v>
      </c>
      <c r="X31" s="14" t="s">
        <v>16</v>
      </c>
      <c r="Y31" s="31">
        <f>SUM(R31:X31)</f>
        <v>126</v>
      </c>
    </row>
    <row r="32" spans="2:27" ht="17" customHeight="1">
      <c r="C32" s="11" t="s">
        <v>91</v>
      </c>
      <c r="D32" s="12">
        <f>SUM(D30:D31)</f>
        <v>549</v>
      </c>
      <c r="E32" s="12">
        <f t="shared" ref="E32:F32" si="15">SUM(E30:E31)</f>
        <v>499</v>
      </c>
      <c r="F32" s="12">
        <f t="shared" si="15"/>
        <v>77</v>
      </c>
      <c r="G32" s="12">
        <f>SUM(G30:G31)</f>
        <v>79</v>
      </c>
      <c r="H32" s="12">
        <f t="shared" ref="H32:J32" si="16">SUM(H30:H31)</f>
        <v>82</v>
      </c>
      <c r="I32" s="12">
        <f t="shared" si="16"/>
        <v>19</v>
      </c>
      <c r="J32" s="13">
        <f t="shared" si="16"/>
        <v>1305</v>
      </c>
      <c r="K32" s="12">
        <f>SUM(K30:K31)</f>
        <v>551</v>
      </c>
      <c r="L32" s="12">
        <f t="shared" ref="L32:T32" si="17">SUM(L30:L31)</f>
        <v>498</v>
      </c>
      <c r="M32" s="12">
        <f t="shared" si="17"/>
        <v>70</v>
      </c>
      <c r="N32" s="12">
        <f>SUM(N30:N31)</f>
        <v>83</v>
      </c>
      <c r="O32" s="12">
        <f t="shared" si="17"/>
        <v>75</v>
      </c>
      <c r="P32" s="12">
        <f t="shared" si="17"/>
        <v>33</v>
      </c>
      <c r="Q32" s="13">
        <f t="shared" si="17"/>
        <v>1310</v>
      </c>
      <c r="R32" s="14">
        <f t="shared" si="17"/>
        <v>541</v>
      </c>
      <c r="S32" s="14">
        <f t="shared" si="17"/>
        <v>427</v>
      </c>
      <c r="T32" s="14">
        <f t="shared" si="17"/>
        <v>31</v>
      </c>
      <c r="U32" s="14">
        <v>119</v>
      </c>
      <c r="V32" s="14">
        <v>77</v>
      </c>
      <c r="W32" s="14">
        <v>55</v>
      </c>
      <c r="X32" s="14">
        <v>31</v>
      </c>
      <c r="Y32" s="13">
        <f>SUM(R32:X32)</f>
        <v>1281</v>
      </c>
    </row>
    <row r="33" spans="2:26" ht="17" customHeight="1" thickBot="1">
      <c r="B33" s="27"/>
      <c r="C33" s="28"/>
      <c r="D33" s="36"/>
      <c r="E33" s="36"/>
      <c r="F33" s="36"/>
      <c r="G33" s="36"/>
      <c r="H33" s="36"/>
      <c r="I33" s="37"/>
      <c r="J33" s="37"/>
      <c r="K33" s="36"/>
      <c r="L33" s="36"/>
      <c r="M33" s="36"/>
      <c r="N33" s="36"/>
      <c r="O33" s="36"/>
      <c r="P33" s="37"/>
      <c r="Q33" s="37"/>
      <c r="R33" s="37"/>
      <c r="S33" s="37"/>
      <c r="T33" s="37"/>
      <c r="U33" s="37"/>
      <c r="V33" s="37"/>
      <c r="W33" s="37"/>
      <c r="X33" s="37"/>
      <c r="Y33" s="37"/>
      <c r="Z33" s="22"/>
    </row>
    <row r="34" spans="2:26">
      <c r="B34" s="10" t="s">
        <v>92</v>
      </c>
      <c r="C34" s="11"/>
      <c r="D34" s="12"/>
      <c r="E34" s="12"/>
      <c r="F34" s="12"/>
      <c r="G34" s="12"/>
      <c r="H34" s="12"/>
      <c r="I34" s="12"/>
      <c r="J34" s="12"/>
      <c r="K34" s="12"/>
      <c r="L34" s="12"/>
      <c r="M34" s="12"/>
      <c r="N34" s="12"/>
      <c r="O34" s="12"/>
      <c r="P34" s="12"/>
      <c r="Q34" s="12"/>
      <c r="R34" s="12"/>
      <c r="S34" s="12"/>
      <c r="T34" s="12"/>
      <c r="U34" s="12"/>
      <c r="V34" s="12"/>
      <c r="W34" s="12"/>
      <c r="X34" s="12"/>
      <c r="Y34" s="12"/>
    </row>
    <row r="35" spans="2:26" ht="17" customHeight="1">
      <c r="C35" s="11" t="s">
        <v>93</v>
      </c>
      <c r="D35" s="14">
        <v>332</v>
      </c>
      <c r="E35" s="14">
        <v>162</v>
      </c>
      <c r="F35" s="14">
        <v>306</v>
      </c>
      <c r="G35" s="14">
        <v>43</v>
      </c>
      <c r="H35" s="38">
        <v>0</v>
      </c>
      <c r="I35" s="14">
        <v>0</v>
      </c>
      <c r="J35" s="13">
        <f>SUM(D35:I35)</f>
        <v>843</v>
      </c>
      <c r="K35" s="12">
        <v>307</v>
      </c>
      <c r="L35" s="12">
        <v>149</v>
      </c>
      <c r="M35" s="12">
        <v>92</v>
      </c>
      <c r="N35" s="12">
        <v>0</v>
      </c>
      <c r="O35" s="39" t="s">
        <v>17</v>
      </c>
      <c r="P35" s="12">
        <v>0</v>
      </c>
      <c r="Q35" s="13">
        <f>SUM(K35:P35)</f>
        <v>548</v>
      </c>
      <c r="R35" s="14">
        <v>383</v>
      </c>
      <c r="S35" s="14">
        <v>208</v>
      </c>
      <c r="T35" s="14">
        <v>55</v>
      </c>
      <c r="U35" s="14">
        <v>33</v>
      </c>
      <c r="V35" s="14">
        <v>0</v>
      </c>
      <c r="W35" s="14">
        <v>0</v>
      </c>
      <c r="X35" s="14">
        <v>0</v>
      </c>
      <c r="Y35" s="31">
        <f>SUM(R35:X35)</f>
        <v>679</v>
      </c>
    </row>
    <row r="36" spans="2:26" ht="17" customHeight="1">
      <c r="C36" s="11" t="s">
        <v>94</v>
      </c>
      <c r="D36" s="14">
        <v>22</v>
      </c>
      <c r="E36" s="14">
        <v>10</v>
      </c>
      <c r="F36" s="14">
        <v>29</v>
      </c>
      <c r="G36" s="14">
        <v>35</v>
      </c>
      <c r="H36" s="38">
        <v>0</v>
      </c>
      <c r="I36" s="14">
        <v>0</v>
      </c>
      <c r="J36" s="13">
        <f>SUM(D36:I36)</f>
        <v>96</v>
      </c>
      <c r="K36" s="12">
        <v>20</v>
      </c>
      <c r="L36" s="12">
        <v>6</v>
      </c>
      <c r="M36" s="12">
        <v>10</v>
      </c>
      <c r="N36" s="12">
        <v>0</v>
      </c>
      <c r="O36" s="39" t="s">
        <v>17</v>
      </c>
      <c r="P36" s="12">
        <v>0</v>
      </c>
      <c r="Q36" s="13">
        <f>SUM(K36:P36)</f>
        <v>36</v>
      </c>
      <c r="R36" s="14">
        <v>19</v>
      </c>
      <c r="S36" s="14">
        <v>3</v>
      </c>
      <c r="T36" s="14">
        <v>0</v>
      </c>
      <c r="U36" s="14">
        <v>0</v>
      </c>
      <c r="V36" s="14">
        <v>0</v>
      </c>
      <c r="W36" s="14">
        <v>0</v>
      </c>
      <c r="X36" s="14">
        <v>0</v>
      </c>
      <c r="Y36" s="31">
        <f>SUM(R36:X36)</f>
        <v>22</v>
      </c>
    </row>
    <row r="37" spans="2:26" ht="17" customHeight="1">
      <c r="C37" s="11" t="s">
        <v>95</v>
      </c>
      <c r="D37" s="12">
        <f>SUM(D35:D36)</f>
        <v>354</v>
      </c>
      <c r="E37" s="12">
        <f t="shared" ref="E37:F37" si="18">SUM(E35:E36)</f>
        <v>172</v>
      </c>
      <c r="F37" s="12">
        <f t="shared" si="18"/>
        <v>335</v>
      </c>
      <c r="G37" s="12">
        <f>SUM(G35:G36)</f>
        <v>78</v>
      </c>
      <c r="H37" s="12">
        <f t="shared" ref="H37:J37" si="19">SUM(H35:H36)</f>
        <v>0</v>
      </c>
      <c r="I37" s="12">
        <f t="shared" si="19"/>
        <v>0</v>
      </c>
      <c r="J37" s="13">
        <f t="shared" si="19"/>
        <v>939</v>
      </c>
      <c r="K37" s="12">
        <f>SUM(K35:K36)</f>
        <v>327</v>
      </c>
      <c r="L37" s="12">
        <f t="shared" ref="L37:Y37" si="20">SUM(L35:L36)</f>
        <v>155</v>
      </c>
      <c r="M37" s="12">
        <f t="shared" si="20"/>
        <v>102</v>
      </c>
      <c r="N37" s="12">
        <f>SUM(N35:N36)</f>
        <v>0</v>
      </c>
      <c r="O37" s="12">
        <f t="shared" si="20"/>
        <v>0</v>
      </c>
      <c r="P37" s="12">
        <f t="shared" si="20"/>
        <v>0</v>
      </c>
      <c r="Q37" s="13">
        <f t="shared" si="20"/>
        <v>584</v>
      </c>
      <c r="R37" s="14">
        <f t="shared" si="20"/>
        <v>402</v>
      </c>
      <c r="S37" s="14">
        <f t="shared" si="20"/>
        <v>211</v>
      </c>
      <c r="T37" s="14">
        <f t="shared" si="20"/>
        <v>55</v>
      </c>
      <c r="U37" s="14">
        <f>SUM(U35:U36)</f>
        <v>33</v>
      </c>
      <c r="V37" s="14">
        <f>SUM(V35:V36)</f>
        <v>0</v>
      </c>
      <c r="W37" s="14">
        <f t="shared" si="20"/>
        <v>0</v>
      </c>
      <c r="X37" s="14">
        <f t="shared" si="20"/>
        <v>0</v>
      </c>
      <c r="Y37" s="13">
        <f t="shared" si="20"/>
        <v>701</v>
      </c>
    </row>
    <row r="38" spans="2:26" ht="16" thickBot="1">
      <c r="B38" s="27"/>
      <c r="C38" s="27"/>
      <c r="D38" s="36"/>
      <c r="E38" s="36"/>
      <c r="F38" s="36"/>
      <c r="G38" s="36"/>
      <c r="H38" s="36"/>
      <c r="I38" s="37"/>
      <c r="J38" s="37"/>
      <c r="K38" s="36"/>
      <c r="L38" s="36"/>
      <c r="M38" s="36"/>
      <c r="N38" s="36"/>
      <c r="O38" s="36"/>
      <c r="P38" s="37"/>
      <c r="Q38" s="37"/>
      <c r="R38" s="37"/>
      <c r="S38" s="37"/>
      <c r="T38" s="37"/>
      <c r="U38" s="37"/>
      <c r="V38" s="37"/>
      <c r="W38" s="37"/>
      <c r="X38" s="37"/>
      <c r="Y38" s="37"/>
      <c r="Z38" s="22"/>
    </row>
    <row r="39" spans="2:26">
      <c r="B39" s="10" t="s">
        <v>96</v>
      </c>
      <c r="C39" s="11"/>
      <c r="D39" s="12"/>
      <c r="E39" s="12"/>
      <c r="F39" s="12"/>
      <c r="G39" s="12"/>
      <c r="H39" s="12"/>
      <c r="I39" s="12"/>
      <c r="J39" s="12"/>
      <c r="K39" s="12"/>
      <c r="L39" s="12"/>
      <c r="M39" s="12"/>
      <c r="N39" s="12"/>
      <c r="O39" s="12"/>
      <c r="P39" s="12"/>
      <c r="Q39" s="12"/>
      <c r="R39" s="12"/>
      <c r="S39" s="12"/>
      <c r="T39" s="12"/>
      <c r="U39" s="12"/>
      <c r="V39" s="12"/>
      <c r="W39" s="12"/>
      <c r="X39" s="12"/>
      <c r="Y39" s="12"/>
    </row>
    <row r="40" spans="2:26" ht="16">
      <c r="C40" s="11" t="s">
        <v>97</v>
      </c>
      <c r="D40" s="12">
        <f>117+2</f>
        <v>119</v>
      </c>
      <c r="E40" s="12">
        <v>92</v>
      </c>
      <c r="F40" s="12">
        <f>59+11</f>
        <v>70</v>
      </c>
      <c r="G40" s="12">
        <f>47+4</f>
        <v>51</v>
      </c>
      <c r="H40" s="12">
        <f>22+1</f>
        <v>23</v>
      </c>
      <c r="I40" s="12">
        <v>9</v>
      </c>
      <c r="J40" s="13">
        <f>SUM(D40:I40)</f>
        <v>364</v>
      </c>
      <c r="K40" s="12">
        <v>124</v>
      </c>
      <c r="L40" s="12">
        <v>89</v>
      </c>
      <c r="M40" s="12">
        <v>44</v>
      </c>
      <c r="N40" s="12">
        <v>50</v>
      </c>
      <c r="O40" s="12">
        <f>18+5</f>
        <v>23</v>
      </c>
      <c r="P40" s="12">
        <f>P11</f>
        <v>18</v>
      </c>
      <c r="Q40" s="13">
        <f>SUM(K40:P40)</f>
        <v>348</v>
      </c>
      <c r="R40" s="14">
        <v>119</v>
      </c>
      <c r="S40" s="14">
        <v>89</v>
      </c>
      <c r="T40" s="14">
        <v>36</v>
      </c>
      <c r="U40" s="14">
        <v>2</v>
      </c>
      <c r="V40" s="14">
        <v>38</v>
      </c>
      <c r="W40" s="14">
        <v>16</v>
      </c>
      <c r="X40" s="14">
        <v>25</v>
      </c>
      <c r="Y40" s="13">
        <f>SUM(R40:X40)</f>
        <v>325</v>
      </c>
    </row>
    <row r="41" spans="2:26" ht="17" customHeight="1">
      <c r="C41" s="11" t="s">
        <v>98</v>
      </c>
      <c r="D41" s="12">
        <v>35</v>
      </c>
      <c r="E41" s="12">
        <v>21</v>
      </c>
      <c r="F41" s="12">
        <v>15</v>
      </c>
      <c r="G41" s="12">
        <v>32</v>
      </c>
      <c r="H41" s="12">
        <v>7</v>
      </c>
      <c r="I41" s="12">
        <v>10</v>
      </c>
      <c r="J41" s="13">
        <f>SUM(D41:I41)</f>
        <v>120</v>
      </c>
      <c r="K41" s="12">
        <v>32</v>
      </c>
      <c r="L41" s="12">
        <v>23</v>
      </c>
      <c r="M41" s="12">
        <v>10</v>
      </c>
      <c r="N41" s="12">
        <v>32</v>
      </c>
      <c r="O41" s="12">
        <f>6+1</f>
        <v>7</v>
      </c>
      <c r="P41" s="12">
        <f>P12</f>
        <v>7</v>
      </c>
      <c r="Q41" s="13">
        <f>SUM(K41:P41)</f>
        <v>111</v>
      </c>
      <c r="R41" s="14">
        <v>30</v>
      </c>
      <c r="S41" s="14">
        <v>22</v>
      </c>
      <c r="T41" s="14">
        <v>12</v>
      </c>
      <c r="U41" s="14">
        <v>0</v>
      </c>
      <c r="V41" s="14">
        <v>30</v>
      </c>
      <c r="W41" s="14">
        <v>8</v>
      </c>
      <c r="X41" s="14">
        <v>8</v>
      </c>
      <c r="Y41" s="13">
        <f>SUM(R41:X41)</f>
        <v>110</v>
      </c>
    </row>
    <row r="42" spans="2:26" s="15" customFormat="1" ht="16">
      <c r="C42" s="16" t="s">
        <v>99</v>
      </c>
      <c r="D42" s="18">
        <f>SUM(D40:D41)</f>
        <v>154</v>
      </c>
      <c r="E42" s="18">
        <f>SUM(E40:E41)</f>
        <v>113</v>
      </c>
      <c r="F42" s="18">
        <f>SUM(F40:F41)</f>
        <v>85</v>
      </c>
      <c r="G42" s="18">
        <f>SUM(G40:G41)</f>
        <v>83</v>
      </c>
      <c r="H42" s="18">
        <f t="shared" ref="H42:J42" si="21">SUM(H40:H41)</f>
        <v>30</v>
      </c>
      <c r="I42" s="18">
        <f t="shared" si="21"/>
        <v>19</v>
      </c>
      <c r="J42" s="19">
        <f t="shared" si="21"/>
        <v>484</v>
      </c>
      <c r="K42" s="18">
        <f>SUM(K40:K41)</f>
        <v>156</v>
      </c>
      <c r="L42" s="18">
        <f>SUM(L40:L41)</f>
        <v>112</v>
      </c>
      <c r="M42" s="18">
        <f>SUM(M40:M41)</f>
        <v>54</v>
      </c>
      <c r="N42" s="18">
        <f>SUM(N40:N41)</f>
        <v>82</v>
      </c>
      <c r="O42" s="18">
        <f t="shared" ref="O42:Y42" si="22">SUM(O40:O41)</f>
        <v>30</v>
      </c>
      <c r="P42" s="18">
        <f t="shared" si="22"/>
        <v>25</v>
      </c>
      <c r="Q42" s="19">
        <f t="shared" si="22"/>
        <v>459</v>
      </c>
      <c r="R42" s="20">
        <f t="shared" si="22"/>
        <v>149</v>
      </c>
      <c r="S42" s="20">
        <f t="shared" si="22"/>
        <v>111</v>
      </c>
      <c r="T42" s="20">
        <f t="shared" si="22"/>
        <v>48</v>
      </c>
      <c r="U42" s="20">
        <f>SUM(U40:U41)</f>
        <v>2</v>
      </c>
      <c r="V42" s="20">
        <f>SUM(V40:V41)</f>
        <v>68</v>
      </c>
      <c r="W42" s="20">
        <f t="shared" si="22"/>
        <v>24</v>
      </c>
      <c r="X42" s="20">
        <f>SUM(X40:X41)</f>
        <v>33</v>
      </c>
      <c r="Y42" s="19">
        <f t="shared" si="22"/>
        <v>435</v>
      </c>
    </row>
    <row r="43" spans="2:26" ht="16" customHeight="1">
      <c r="B43" s="11"/>
      <c r="C43" s="11" t="s">
        <v>100</v>
      </c>
      <c r="D43" s="12">
        <v>27</v>
      </c>
      <c r="E43" s="12">
        <v>64</v>
      </c>
      <c r="F43" s="12">
        <v>1</v>
      </c>
      <c r="G43" s="12">
        <v>34</v>
      </c>
      <c r="H43" s="12">
        <v>11</v>
      </c>
      <c r="I43" s="14">
        <v>7</v>
      </c>
      <c r="J43" s="13">
        <f>SUM(D43:I43)</f>
        <v>144</v>
      </c>
      <c r="K43" s="12">
        <v>27</v>
      </c>
      <c r="L43" s="12">
        <v>64</v>
      </c>
      <c r="M43" s="12">
        <v>0</v>
      </c>
      <c r="N43" s="12">
        <v>29</v>
      </c>
      <c r="O43" s="12">
        <v>7</v>
      </c>
      <c r="P43" s="12">
        <v>0</v>
      </c>
      <c r="Q43" s="13">
        <f>SUM(K43:P43)</f>
        <v>127</v>
      </c>
      <c r="R43" s="14">
        <v>39</v>
      </c>
      <c r="S43" s="14">
        <v>5</v>
      </c>
      <c r="T43" s="14">
        <v>3</v>
      </c>
      <c r="U43" s="14">
        <v>1</v>
      </c>
      <c r="V43" s="14">
        <v>37</v>
      </c>
      <c r="W43" s="14">
        <v>0</v>
      </c>
      <c r="X43" s="14">
        <v>15</v>
      </c>
      <c r="Y43" s="13">
        <f>SUM(R43:X43)</f>
        <v>100</v>
      </c>
    </row>
    <row r="44" spans="2:26" ht="16" customHeight="1">
      <c r="C44" s="11" t="s">
        <v>101</v>
      </c>
      <c r="D44" s="12">
        <v>54</v>
      </c>
      <c r="E44" s="12">
        <v>13</v>
      </c>
      <c r="F44" s="12">
        <v>10</v>
      </c>
      <c r="G44" s="12">
        <v>10</v>
      </c>
      <c r="H44" s="12">
        <v>2</v>
      </c>
      <c r="I44" s="14">
        <v>11</v>
      </c>
      <c r="J44" s="13">
        <f>SUM(D44:I44)</f>
        <v>100</v>
      </c>
      <c r="K44" s="12">
        <v>50</v>
      </c>
      <c r="L44" s="12">
        <v>11</v>
      </c>
      <c r="M44" s="12">
        <v>6</v>
      </c>
      <c r="N44" s="12">
        <v>10</v>
      </c>
      <c r="O44" s="12">
        <f>2+4</f>
        <v>6</v>
      </c>
      <c r="P44" s="12">
        <v>18</v>
      </c>
      <c r="Q44" s="13">
        <f>SUM(K44:P44)</f>
        <v>101</v>
      </c>
      <c r="R44" s="14">
        <v>51</v>
      </c>
      <c r="S44" s="14">
        <v>89</v>
      </c>
      <c r="T44" s="14">
        <v>5</v>
      </c>
      <c r="U44" s="14">
        <v>1</v>
      </c>
      <c r="V44" s="14">
        <v>6</v>
      </c>
      <c r="W44" s="14">
        <v>9</v>
      </c>
      <c r="X44" s="14">
        <v>0</v>
      </c>
      <c r="Y44" s="13">
        <f>SUM(R44:X44)</f>
        <v>161</v>
      </c>
    </row>
    <row r="45" spans="2:26" ht="16" customHeight="1">
      <c r="C45" s="11" t="s">
        <v>102</v>
      </c>
      <c r="D45" s="12">
        <v>71</v>
      </c>
      <c r="E45" s="12">
        <v>36</v>
      </c>
      <c r="F45" s="12">
        <v>63</v>
      </c>
      <c r="G45" s="12">
        <v>35</v>
      </c>
      <c r="H45" s="12">
        <v>16</v>
      </c>
      <c r="I45" s="14"/>
      <c r="J45" s="13">
        <f>SUM(D45:I45)</f>
        <v>221</v>
      </c>
      <c r="K45" s="12">
        <v>79</v>
      </c>
      <c r="L45" s="12">
        <v>37</v>
      </c>
      <c r="M45" s="12">
        <v>40</v>
      </c>
      <c r="N45" s="12">
        <v>37</v>
      </c>
      <c r="O45" s="12">
        <f>15+2</f>
        <v>17</v>
      </c>
      <c r="P45" s="12">
        <v>0</v>
      </c>
      <c r="Q45" s="13">
        <f>SUM(K45:P45)</f>
        <v>210</v>
      </c>
      <c r="R45" s="14">
        <v>59</v>
      </c>
      <c r="S45" s="14">
        <v>17</v>
      </c>
      <c r="T45" s="14">
        <v>40</v>
      </c>
      <c r="U45" s="14">
        <v>0</v>
      </c>
      <c r="V45" s="14">
        <v>25</v>
      </c>
      <c r="W45" s="14">
        <v>15</v>
      </c>
      <c r="X45" s="14">
        <v>0</v>
      </c>
      <c r="Y45" s="13">
        <f>SUM(R45:X45)</f>
        <v>156</v>
      </c>
    </row>
    <row r="46" spans="2:26" ht="16" customHeight="1">
      <c r="C46" s="11" t="s">
        <v>103</v>
      </c>
      <c r="D46" s="2">
        <v>2</v>
      </c>
      <c r="E46" s="2">
        <v>0</v>
      </c>
      <c r="F46" s="2">
        <v>11</v>
      </c>
      <c r="G46" s="2">
        <v>4</v>
      </c>
      <c r="H46" s="2">
        <v>1</v>
      </c>
      <c r="I46" s="14">
        <v>1</v>
      </c>
      <c r="J46" s="13">
        <f>SUM(D46:I46)</f>
        <v>19</v>
      </c>
      <c r="K46" s="12">
        <v>0</v>
      </c>
      <c r="L46" s="12">
        <v>0</v>
      </c>
      <c r="M46" s="12">
        <v>8</v>
      </c>
      <c r="N46" s="12">
        <v>6</v>
      </c>
      <c r="O46" s="12">
        <v>0</v>
      </c>
      <c r="P46" s="12">
        <v>7</v>
      </c>
      <c r="Q46" s="13">
        <f>SUM(K46:P46)</f>
        <v>21</v>
      </c>
      <c r="R46" s="14">
        <v>0</v>
      </c>
      <c r="S46" s="14">
        <v>0</v>
      </c>
      <c r="T46" s="14">
        <v>0</v>
      </c>
      <c r="U46" s="14">
        <v>0</v>
      </c>
      <c r="V46" s="14">
        <v>0</v>
      </c>
      <c r="W46" s="14">
        <v>0</v>
      </c>
      <c r="X46" s="14">
        <v>18</v>
      </c>
      <c r="Y46" s="13">
        <f>SUM(R46:X46)</f>
        <v>18</v>
      </c>
    </row>
    <row r="47" spans="2:26" ht="16" customHeight="1" thickBot="1">
      <c r="B47" s="27"/>
      <c r="C47" s="28"/>
      <c r="D47" s="29"/>
      <c r="E47" s="29"/>
      <c r="F47" s="29"/>
      <c r="G47" s="29"/>
      <c r="H47" s="29"/>
      <c r="I47" s="29"/>
      <c r="J47" s="29"/>
      <c r="K47" s="27"/>
      <c r="L47" s="27"/>
      <c r="M47" s="27"/>
      <c r="N47" s="27"/>
      <c r="O47" s="27"/>
      <c r="P47" s="29"/>
      <c r="Q47" s="29"/>
      <c r="R47" s="29"/>
      <c r="S47" s="29"/>
      <c r="T47" s="29"/>
      <c r="U47" s="29"/>
      <c r="V47" s="29"/>
      <c r="W47" s="29"/>
      <c r="X47" s="29"/>
      <c r="Y47" s="29"/>
      <c r="Z47" s="22"/>
    </row>
    <row r="48" spans="2:26">
      <c r="B48" s="10" t="s">
        <v>104</v>
      </c>
      <c r="C48" s="11"/>
      <c r="J48" s="2"/>
      <c r="Q48" s="2"/>
      <c r="Y48" s="2"/>
    </row>
    <row r="49" spans="2:26" ht="16">
      <c r="C49" s="11" t="s">
        <v>105</v>
      </c>
      <c r="D49" s="12">
        <v>352</v>
      </c>
      <c r="E49" s="12">
        <v>374</v>
      </c>
      <c r="F49" s="12">
        <v>35</v>
      </c>
      <c r="G49" s="12">
        <v>0</v>
      </c>
      <c r="H49" s="12">
        <v>44</v>
      </c>
      <c r="I49" s="12">
        <v>0</v>
      </c>
      <c r="J49" s="13">
        <f>SUM(D49:I49)</f>
        <v>805</v>
      </c>
      <c r="K49" s="12">
        <v>327</v>
      </c>
      <c r="L49" s="12">
        <v>377</v>
      </c>
      <c r="M49" s="12">
        <v>8</v>
      </c>
      <c r="N49" s="12">
        <v>0</v>
      </c>
      <c r="O49" s="12">
        <f>19+17</f>
        <v>36</v>
      </c>
      <c r="P49" s="12">
        <v>0</v>
      </c>
      <c r="Q49" s="13">
        <f>SUM(K49:P49)</f>
        <v>748</v>
      </c>
      <c r="R49" s="14">
        <v>350</v>
      </c>
      <c r="S49" s="14">
        <v>367</v>
      </c>
      <c r="T49" s="14">
        <v>5</v>
      </c>
      <c r="U49" s="14">
        <v>0</v>
      </c>
      <c r="V49" s="14">
        <v>0</v>
      </c>
      <c r="W49" s="14">
        <v>28</v>
      </c>
      <c r="X49" s="14">
        <v>0</v>
      </c>
      <c r="Y49" s="13">
        <f>SUM(R49:X49)</f>
        <v>750</v>
      </c>
    </row>
    <row r="50" spans="2:26" ht="17" customHeight="1">
      <c r="C50" s="11" t="s">
        <v>106</v>
      </c>
      <c r="D50" s="12">
        <v>56</v>
      </c>
      <c r="E50" s="12">
        <v>17</v>
      </c>
      <c r="F50" s="12">
        <v>6</v>
      </c>
      <c r="G50" s="12">
        <v>0</v>
      </c>
      <c r="H50" s="12">
        <f>2+5</f>
        <v>7</v>
      </c>
      <c r="I50" s="12">
        <v>0</v>
      </c>
      <c r="J50" s="13">
        <f>SUM(D50:I50)</f>
        <v>86</v>
      </c>
      <c r="K50" s="12">
        <v>54</v>
      </c>
      <c r="L50" s="12">
        <v>14</v>
      </c>
      <c r="M50" s="12">
        <v>7</v>
      </c>
      <c r="N50" s="12">
        <v>0</v>
      </c>
      <c r="O50" s="12">
        <f>3+4</f>
        <v>7</v>
      </c>
      <c r="P50" s="12">
        <v>0</v>
      </c>
      <c r="Q50" s="13">
        <f>SUM(K50:P50)</f>
        <v>82</v>
      </c>
      <c r="R50" s="14">
        <v>49</v>
      </c>
      <c r="S50" s="14">
        <v>14</v>
      </c>
      <c r="T50" s="14">
        <v>8</v>
      </c>
      <c r="U50" s="14">
        <v>0</v>
      </c>
      <c r="V50" s="14">
        <v>0</v>
      </c>
      <c r="W50" s="14">
        <v>3</v>
      </c>
      <c r="X50" s="14">
        <v>0</v>
      </c>
      <c r="Y50" s="13">
        <f>SUM(R50:X50)</f>
        <v>74</v>
      </c>
    </row>
    <row r="51" spans="2:26" s="15" customFormat="1" ht="16">
      <c r="C51" s="16" t="s">
        <v>107</v>
      </c>
      <c r="D51" s="18">
        <f t="shared" ref="D51:F51" si="23">SUM(D49:D50)</f>
        <v>408</v>
      </c>
      <c r="E51" s="18">
        <f t="shared" si="23"/>
        <v>391</v>
      </c>
      <c r="F51" s="18">
        <f t="shared" si="23"/>
        <v>41</v>
      </c>
      <c r="G51" s="18">
        <f>SUM(G49:G50)</f>
        <v>0</v>
      </c>
      <c r="H51" s="18">
        <f t="shared" ref="H51:Y51" si="24">SUM(H49:H50)</f>
        <v>51</v>
      </c>
      <c r="I51" s="18">
        <f t="shared" si="24"/>
        <v>0</v>
      </c>
      <c r="J51" s="19">
        <f t="shared" si="24"/>
        <v>891</v>
      </c>
      <c r="K51" s="18">
        <f t="shared" si="24"/>
        <v>381</v>
      </c>
      <c r="L51" s="18">
        <f t="shared" si="24"/>
        <v>391</v>
      </c>
      <c r="M51" s="18">
        <f t="shared" si="24"/>
        <v>15</v>
      </c>
      <c r="N51" s="18">
        <f>SUM(N49:N50)</f>
        <v>0</v>
      </c>
      <c r="O51" s="18">
        <f t="shared" si="24"/>
        <v>43</v>
      </c>
      <c r="P51" s="18">
        <f t="shared" si="24"/>
        <v>0</v>
      </c>
      <c r="Q51" s="19">
        <f t="shared" si="24"/>
        <v>830</v>
      </c>
      <c r="R51" s="20">
        <f t="shared" si="24"/>
        <v>399</v>
      </c>
      <c r="S51" s="20">
        <f t="shared" si="24"/>
        <v>381</v>
      </c>
      <c r="T51" s="20">
        <f t="shared" si="24"/>
        <v>13</v>
      </c>
      <c r="U51" s="20">
        <f>SUM(U49:U50)</f>
        <v>0</v>
      </c>
      <c r="V51" s="20">
        <f>SUM(V49:V50)</f>
        <v>0</v>
      </c>
      <c r="W51" s="20">
        <f t="shared" si="24"/>
        <v>31</v>
      </c>
      <c r="X51" s="20">
        <f t="shared" si="24"/>
        <v>0</v>
      </c>
      <c r="Y51" s="19">
        <f t="shared" si="24"/>
        <v>824</v>
      </c>
    </row>
    <row r="52" spans="2:26" ht="16" customHeight="1">
      <c r="B52" s="11"/>
      <c r="C52" s="11" t="s">
        <v>100</v>
      </c>
      <c r="D52" s="12">
        <v>260</v>
      </c>
      <c r="E52" s="12">
        <v>291</v>
      </c>
      <c r="F52" s="12">
        <v>7</v>
      </c>
      <c r="G52" s="14">
        <v>0</v>
      </c>
      <c r="H52" s="12">
        <v>6</v>
      </c>
      <c r="I52" s="12">
        <v>0</v>
      </c>
      <c r="J52" s="13">
        <f>SUM(D52:I52)</f>
        <v>564</v>
      </c>
      <c r="K52" s="12">
        <v>240</v>
      </c>
      <c r="L52" s="12">
        <v>293</v>
      </c>
      <c r="M52" s="12">
        <v>10</v>
      </c>
      <c r="N52" s="12">
        <v>0</v>
      </c>
      <c r="O52" s="12">
        <f>0+7</f>
        <v>7</v>
      </c>
      <c r="P52" s="12">
        <v>0</v>
      </c>
      <c r="Q52" s="13">
        <f>SUM(K52:P52)</f>
        <v>550</v>
      </c>
      <c r="R52" s="14">
        <v>255</v>
      </c>
      <c r="S52" s="14">
        <v>57</v>
      </c>
      <c r="T52" s="14">
        <v>11</v>
      </c>
      <c r="U52" s="14">
        <v>0</v>
      </c>
      <c r="V52" s="14">
        <v>0</v>
      </c>
      <c r="W52" s="14">
        <v>11</v>
      </c>
      <c r="X52" s="14">
        <v>0</v>
      </c>
      <c r="Y52" s="13">
        <f>SUM(R52:X52)</f>
        <v>334</v>
      </c>
    </row>
    <row r="53" spans="2:26" ht="16" customHeight="1">
      <c r="C53" s="11" t="s">
        <v>101</v>
      </c>
      <c r="D53" s="12">
        <v>107</v>
      </c>
      <c r="E53" s="12">
        <v>53</v>
      </c>
      <c r="F53" s="12">
        <v>1</v>
      </c>
      <c r="G53" s="14">
        <v>0</v>
      </c>
      <c r="H53" s="12">
        <v>14</v>
      </c>
      <c r="I53" s="12">
        <v>0</v>
      </c>
      <c r="J53" s="13">
        <f>SUM(D53:I53)</f>
        <v>175</v>
      </c>
      <c r="K53" s="12">
        <v>106</v>
      </c>
      <c r="L53" s="12">
        <v>52</v>
      </c>
      <c r="M53" s="12">
        <v>1</v>
      </c>
      <c r="N53" s="12">
        <v>0</v>
      </c>
      <c r="O53" s="12">
        <f>3+5</f>
        <v>8</v>
      </c>
      <c r="P53" s="12">
        <v>0</v>
      </c>
      <c r="Q53" s="13">
        <f>SUM(K53:P53)</f>
        <v>167</v>
      </c>
      <c r="R53" s="14">
        <v>115</v>
      </c>
      <c r="S53" s="14">
        <v>322</v>
      </c>
      <c r="T53" s="14">
        <v>0</v>
      </c>
      <c r="U53" s="14">
        <v>0</v>
      </c>
      <c r="V53" s="14">
        <v>0</v>
      </c>
      <c r="W53" s="14">
        <v>9</v>
      </c>
      <c r="X53" s="14">
        <v>0</v>
      </c>
      <c r="Y53" s="13">
        <f>SUM(R53:X53)</f>
        <v>446</v>
      </c>
    </row>
    <row r="54" spans="2:26" ht="16" customHeight="1">
      <c r="C54" s="11" t="s">
        <v>102</v>
      </c>
      <c r="D54" s="12">
        <v>41</v>
      </c>
      <c r="E54" s="12">
        <v>47</v>
      </c>
      <c r="F54" s="12">
        <v>33</v>
      </c>
      <c r="G54" s="14">
        <v>0</v>
      </c>
      <c r="H54" s="12">
        <v>31</v>
      </c>
      <c r="I54" s="12">
        <v>0</v>
      </c>
      <c r="J54" s="13">
        <f>SUM(D54:I54)</f>
        <v>152</v>
      </c>
      <c r="K54" s="12">
        <v>35</v>
      </c>
      <c r="L54" s="12">
        <v>46</v>
      </c>
      <c r="M54" s="12">
        <v>4</v>
      </c>
      <c r="N54" s="12">
        <v>0</v>
      </c>
      <c r="O54" s="12">
        <f>19+9</f>
        <v>28</v>
      </c>
      <c r="P54" s="12">
        <v>0</v>
      </c>
      <c r="Q54" s="13">
        <f>SUM(K54:P54)</f>
        <v>113</v>
      </c>
      <c r="R54" s="14">
        <v>29</v>
      </c>
      <c r="S54" s="14">
        <v>2</v>
      </c>
      <c r="T54" s="14">
        <v>2</v>
      </c>
      <c r="U54" s="14">
        <v>0</v>
      </c>
      <c r="V54" s="14">
        <v>0</v>
      </c>
      <c r="W54" s="14">
        <v>11</v>
      </c>
      <c r="X54" s="14"/>
      <c r="Y54" s="13">
        <f>SUM(R54:X54)</f>
        <v>44</v>
      </c>
    </row>
    <row r="55" spans="2:26" ht="16" customHeight="1">
      <c r="C55" s="11" t="s">
        <v>103</v>
      </c>
      <c r="D55" s="12"/>
      <c r="E55" s="12"/>
      <c r="F55" s="12"/>
      <c r="G55" s="12"/>
      <c r="H55" s="12"/>
      <c r="I55" s="18"/>
      <c r="J55" s="13">
        <f>SUM(D55:I55)</f>
        <v>0</v>
      </c>
      <c r="K55" s="12">
        <v>0</v>
      </c>
      <c r="L55" s="12">
        <v>0</v>
      </c>
      <c r="M55" s="12">
        <v>0</v>
      </c>
      <c r="N55" s="12">
        <v>0</v>
      </c>
      <c r="O55" s="12">
        <v>0</v>
      </c>
      <c r="P55" s="12">
        <v>0</v>
      </c>
      <c r="Q55" s="13">
        <f>SUM(K55:P55)</f>
        <v>0</v>
      </c>
      <c r="R55" s="14">
        <v>0</v>
      </c>
      <c r="S55" s="14">
        <v>0</v>
      </c>
      <c r="T55" s="14">
        <v>0</v>
      </c>
      <c r="U55" s="14">
        <v>0</v>
      </c>
      <c r="V55" s="14">
        <v>0</v>
      </c>
      <c r="W55" s="14">
        <v>0</v>
      </c>
      <c r="X55" s="14">
        <v>0</v>
      </c>
      <c r="Y55" s="13">
        <f>SUM(R55:X55)</f>
        <v>0</v>
      </c>
    </row>
    <row r="56" spans="2:26" ht="16" customHeight="1" thickBot="1">
      <c r="B56" s="27"/>
      <c r="C56" s="28"/>
      <c r="D56" s="27"/>
      <c r="E56" s="27"/>
      <c r="F56" s="27"/>
      <c r="G56" s="27"/>
      <c r="H56" s="27"/>
      <c r="I56" s="29"/>
      <c r="J56" s="29"/>
      <c r="K56" s="27"/>
      <c r="L56" s="27"/>
      <c r="M56" s="27"/>
      <c r="N56" s="27"/>
      <c r="O56" s="27"/>
      <c r="P56" s="29"/>
      <c r="Q56" s="29"/>
      <c r="R56" s="29"/>
      <c r="S56" s="29"/>
      <c r="T56" s="29"/>
      <c r="U56" s="29"/>
      <c r="V56" s="29"/>
      <c r="W56" s="29"/>
      <c r="X56" s="29"/>
      <c r="Y56" s="29"/>
      <c r="Z56" s="22"/>
    </row>
    <row r="57" spans="2:26">
      <c r="B57" s="10" t="s">
        <v>108</v>
      </c>
      <c r="C57" s="11"/>
      <c r="J57" s="2"/>
      <c r="Q57" s="2"/>
      <c r="Y57" s="2"/>
    </row>
    <row r="58" spans="2:26" ht="16" customHeight="1">
      <c r="C58" s="11" t="s">
        <v>109</v>
      </c>
      <c r="D58" s="22">
        <f>(D52+D43)/$D$13</f>
        <v>0.51067615658362986</v>
      </c>
      <c r="E58" s="22">
        <f>(E52+E43)/$E$13</f>
        <v>0.70436507936507942</v>
      </c>
      <c r="F58" s="22">
        <f>(F52+F43)/$F$13</f>
        <v>6.3492063492063489E-2</v>
      </c>
      <c r="G58" s="22">
        <f>(G52+G43)/$G$13</f>
        <v>0.40963855421686746</v>
      </c>
      <c r="H58" s="22">
        <f>(H52+H43)/$H$13</f>
        <v>0.20987654320987653</v>
      </c>
      <c r="I58" s="22">
        <f>(I52+I43)/$I$13</f>
        <v>0.36842105263157893</v>
      </c>
      <c r="J58" s="25">
        <f>(J52+J43)/$J$13</f>
        <v>0.51490909090909087</v>
      </c>
      <c r="K58" s="22">
        <f>(K52+K43)/$K$13</f>
        <v>0.4972067039106145</v>
      </c>
      <c r="L58" s="22">
        <f>(L52+L43)/$L$13</f>
        <v>0.70974155069582501</v>
      </c>
      <c r="M58" s="22">
        <f>(M52+M43)/$M$13</f>
        <v>0.14492753623188406</v>
      </c>
      <c r="N58" s="22">
        <f>(N52+N43)/$N$13</f>
        <v>0.35365853658536583</v>
      </c>
      <c r="O58" s="22">
        <f>(O52+O43)/$O$13</f>
        <v>0.19178082191780821</v>
      </c>
      <c r="P58" s="22">
        <f>(P52+P43)/$P$13</f>
        <v>0</v>
      </c>
      <c r="Q58" s="25">
        <f>(Q52+Q43)/$Q$13</f>
        <v>0.52521334367726924</v>
      </c>
      <c r="R58" s="22">
        <f>(R52+R43)/$R$13</f>
        <v>0.53649635036496346</v>
      </c>
      <c r="S58" s="22">
        <f>(S52+S43)/$S$13</f>
        <v>0.12601626016260162</v>
      </c>
      <c r="T58" s="22">
        <f>(T52+T43)/$T$13</f>
        <v>0.22950819672131148</v>
      </c>
      <c r="U58" s="22">
        <f>(U52+U43)/$U$13</f>
        <v>0.5</v>
      </c>
      <c r="V58" s="22">
        <f>(V52+V43)/$V$13</f>
        <v>0.54411764705882348</v>
      </c>
      <c r="W58" s="22">
        <f>(W52+W43)/$W$13</f>
        <v>0.2</v>
      </c>
      <c r="X58" s="22">
        <f>(X52+X43)/$X$13</f>
        <v>0.45454545454545453</v>
      </c>
      <c r="Y58" s="25">
        <f>(Y52+Y43)/$Y$13</f>
        <v>0.34471803018268465</v>
      </c>
    </row>
    <row r="59" spans="2:26" ht="16" customHeight="1">
      <c r="C59" s="11" t="s">
        <v>110</v>
      </c>
      <c r="D59" s="22">
        <f>(D53+D44)/$D$13</f>
        <v>0.28647686832740216</v>
      </c>
      <c r="E59" s="22">
        <f>(E53+E44)/$E$13</f>
        <v>0.13095238095238096</v>
      </c>
      <c r="F59" s="22">
        <f>(F53+F44)/$F$13</f>
        <v>8.7301587301587297E-2</v>
      </c>
      <c r="G59" s="22">
        <f>(G53+G44)/$G$13</f>
        <v>0.12048192771084337</v>
      </c>
      <c r="H59" s="22">
        <f>(H53+H44)/$H$13</f>
        <v>0.19753086419753085</v>
      </c>
      <c r="I59" s="22">
        <f>(I53+I44)/$I$13</f>
        <v>0.57894736842105265</v>
      </c>
      <c r="J59" s="25">
        <f>(J53+J44)/$J$13</f>
        <v>0.2</v>
      </c>
      <c r="K59" s="22">
        <f>(K53+K44)/$K$13</f>
        <v>0.29050279329608941</v>
      </c>
      <c r="L59" s="22">
        <f>(L53+L44)/$L$13</f>
        <v>0.12524850894632206</v>
      </c>
      <c r="M59" s="22">
        <f>(M53+M44)/$M$13</f>
        <v>0.10144927536231885</v>
      </c>
      <c r="N59" s="22">
        <f>(N53+N44)/$N$13</f>
        <v>0.12195121951219512</v>
      </c>
      <c r="O59" s="22">
        <f>(O53+O44)/$O$13</f>
        <v>0.19178082191780821</v>
      </c>
      <c r="P59" s="22">
        <f>(P53+P44)/$P$13</f>
        <v>0.72</v>
      </c>
      <c r="Q59" s="25">
        <f>(Q53+Q44)/$Q$13</f>
        <v>0.20791311093871218</v>
      </c>
      <c r="R59" s="22">
        <f>(R53+R44)/$R$13</f>
        <v>0.3029197080291971</v>
      </c>
      <c r="S59" s="22">
        <f>(S53+S44)/$S$13</f>
        <v>0.83536585365853655</v>
      </c>
      <c r="T59" s="22">
        <f>(T53+T44)/$T$13</f>
        <v>8.1967213114754092E-2</v>
      </c>
      <c r="U59" s="22">
        <f>(U53+U44)/$U$13</f>
        <v>0.5</v>
      </c>
      <c r="V59" s="22">
        <f>(V53+V44)/$V$13</f>
        <v>8.8235294117647065E-2</v>
      </c>
      <c r="W59" s="22">
        <f>(W53+W44)/$W$13</f>
        <v>0.32727272727272727</v>
      </c>
      <c r="X59" s="22">
        <f>(X53+X44)/$X$13</f>
        <v>0</v>
      </c>
      <c r="Y59" s="25">
        <f>(Y53+Y44)/$Y$13</f>
        <v>0.48212867355043687</v>
      </c>
    </row>
    <row r="60" spans="2:26" ht="16" customHeight="1">
      <c r="C60" s="11" t="s">
        <v>111</v>
      </c>
      <c r="D60" s="22">
        <f>(D54+D45)/$D$13</f>
        <v>0.199288256227758</v>
      </c>
      <c r="E60" s="22">
        <f>(E54+E45)/$E$13</f>
        <v>0.16468253968253968</v>
      </c>
      <c r="F60" s="22">
        <f>(F54+F45)/$F$13</f>
        <v>0.76190476190476186</v>
      </c>
      <c r="G60" s="22">
        <f>(G54+G45)/$G$13</f>
        <v>0.42168674698795183</v>
      </c>
      <c r="H60" s="22">
        <f>(H54+H45)/$H$13</f>
        <v>0.58024691358024694</v>
      </c>
      <c r="I60" s="22">
        <f>(I54+I45)/$I$13</f>
        <v>0</v>
      </c>
      <c r="J60" s="25">
        <f>(J54+J45)/$J$13</f>
        <v>0.27127272727272728</v>
      </c>
      <c r="K60" s="22">
        <f>(K54+K45)/$K$13</f>
        <v>0.21229050279329609</v>
      </c>
      <c r="L60" s="22">
        <f>(L54+L45)/$L$13</f>
        <v>0.16500994035785288</v>
      </c>
      <c r="M60" s="22">
        <f>(M54+M45)/$M$13</f>
        <v>0.6376811594202898</v>
      </c>
      <c r="N60" s="22">
        <f>(N54+N45)/$N$13</f>
        <v>0.45121951219512196</v>
      </c>
      <c r="O60" s="22">
        <f>(O54+O45)/$O$13</f>
        <v>0.61643835616438358</v>
      </c>
      <c r="P60" s="22">
        <f>(P54+P45)/$P$13</f>
        <v>0</v>
      </c>
      <c r="Q60" s="25">
        <f>(Q54+Q45)/$Q$13</f>
        <v>0.25058184639255238</v>
      </c>
      <c r="R60" s="22">
        <f>(R54+R45)/$R$13</f>
        <v>0.16058394160583941</v>
      </c>
      <c r="S60" s="22">
        <f>(S54+S45)/$S$13</f>
        <v>3.8617886178861791E-2</v>
      </c>
      <c r="T60" s="22">
        <f>(T54+T45)/$T$13</f>
        <v>0.68852459016393441</v>
      </c>
      <c r="U60" s="22">
        <f>(U54+U45)/$U$13</f>
        <v>0</v>
      </c>
      <c r="V60" s="22">
        <f>(V54+V45)/$V$13</f>
        <v>0.36764705882352944</v>
      </c>
      <c r="W60" s="22">
        <f>(W54+W45)/$W$13</f>
        <v>0.47272727272727272</v>
      </c>
      <c r="X60" s="22">
        <f>(X54+X45)/$X$13</f>
        <v>0</v>
      </c>
      <c r="Y60" s="25">
        <f>(Y54+Y45)/$Y$13</f>
        <v>0.15885623510722796</v>
      </c>
    </row>
    <row r="61" spans="2:26" ht="17" customHeight="1">
      <c r="C61" s="11" t="s">
        <v>112</v>
      </c>
      <c r="D61" s="22">
        <f>(D55+D46)/$D$13</f>
        <v>3.5587188612099642E-3</v>
      </c>
      <c r="E61" s="22">
        <f>(E55+E46)/$E$13</f>
        <v>0</v>
      </c>
      <c r="F61" s="22">
        <f>(F55+F46)/$F$13</f>
        <v>8.7301587301587297E-2</v>
      </c>
      <c r="G61" s="22">
        <f>(G55+G46)/$G$13</f>
        <v>4.8192771084337352E-2</v>
      </c>
      <c r="H61" s="22">
        <f>(H55+H46)/$H$13</f>
        <v>1.2345679012345678E-2</v>
      </c>
      <c r="I61" s="22">
        <f>(I55+I46)/$I$13</f>
        <v>5.2631578947368418E-2</v>
      </c>
      <c r="J61" s="25">
        <f>(J55+J46)/$J$13</f>
        <v>1.3818181818181818E-2</v>
      </c>
      <c r="K61" s="22">
        <f>(K55+K46)/$K$13</f>
        <v>0</v>
      </c>
      <c r="L61" s="22">
        <f>(L55+L46)/$L$13</f>
        <v>0</v>
      </c>
      <c r="M61" s="22">
        <f>(M55+M46)/$M$13</f>
        <v>0.11594202898550725</v>
      </c>
      <c r="N61" s="22">
        <f>(N55+N46)/$N$13</f>
        <v>7.3170731707317069E-2</v>
      </c>
      <c r="O61" s="22">
        <f>(O55+O46)/$O$13</f>
        <v>0</v>
      </c>
      <c r="P61" s="22">
        <f>(P55+P46)/$P$13</f>
        <v>0.28000000000000003</v>
      </c>
      <c r="Q61" s="25">
        <f>(Q55+Q46)/$Q$13</f>
        <v>1.6291698991466253E-2</v>
      </c>
      <c r="R61" s="22">
        <f>(R55+R46)/$R$13</f>
        <v>0</v>
      </c>
      <c r="S61" s="22">
        <f>(S55+S46)/$S$13</f>
        <v>0</v>
      </c>
      <c r="T61" s="22">
        <f>(T55+T46)/$T$13</f>
        <v>0</v>
      </c>
      <c r="U61" s="22">
        <f>(U55+U46)/$U$13</f>
        <v>0</v>
      </c>
      <c r="V61" s="22">
        <f>(V55+V46)/$V$13</f>
        <v>0</v>
      </c>
      <c r="W61" s="22">
        <f>(W55+W46)/$W$13</f>
        <v>0</v>
      </c>
      <c r="X61" s="22">
        <f>(X55+X46)/$X$13</f>
        <v>0.54545454545454541</v>
      </c>
      <c r="Y61" s="25">
        <f>(Y55+Y46)/$Y$13</f>
        <v>1.4297061159650517E-2</v>
      </c>
    </row>
    <row r="62" spans="2:26" ht="17" customHeight="1" thickBot="1">
      <c r="B62" s="27"/>
      <c r="C62" s="28"/>
      <c r="D62" s="29"/>
      <c r="E62" s="29"/>
      <c r="F62" s="29"/>
      <c r="G62" s="29"/>
      <c r="H62" s="29"/>
      <c r="I62" s="29"/>
      <c r="J62" s="29"/>
      <c r="K62" s="29"/>
      <c r="L62" s="29"/>
      <c r="M62" s="29"/>
      <c r="N62" s="29"/>
      <c r="O62" s="29"/>
      <c r="P62" s="29"/>
      <c r="Q62" s="29"/>
      <c r="R62" s="29"/>
      <c r="S62" s="29"/>
      <c r="T62" s="29"/>
      <c r="U62" s="29"/>
      <c r="V62" s="29"/>
      <c r="W62" s="29"/>
      <c r="X62" s="29"/>
      <c r="Y62" s="29"/>
      <c r="Z62" s="22"/>
    </row>
    <row r="63" spans="2:26">
      <c r="B63" s="10" t="s">
        <v>113</v>
      </c>
      <c r="C63" s="11"/>
      <c r="J63" s="2"/>
      <c r="Q63" s="2"/>
      <c r="Y63" s="2"/>
    </row>
    <row r="64" spans="2:26" ht="16" customHeight="1">
      <c r="C64" s="11" t="s">
        <v>114</v>
      </c>
      <c r="D64" s="22">
        <f t="shared" ref="D64:Y64" si="25">D51/D$13</f>
        <v>0.72597864768683273</v>
      </c>
      <c r="E64" s="22">
        <f t="shared" si="25"/>
        <v>0.77579365079365081</v>
      </c>
      <c r="F64" s="22">
        <f t="shared" si="25"/>
        <v>0.32539682539682541</v>
      </c>
      <c r="G64" s="23">
        <f t="shared" si="25"/>
        <v>0</v>
      </c>
      <c r="H64" s="22">
        <f t="shared" si="25"/>
        <v>0.62962962962962965</v>
      </c>
      <c r="I64" s="22">
        <f t="shared" si="25"/>
        <v>0</v>
      </c>
      <c r="J64" s="25">
        <f t="shared" si="25"/>
        <v>0.64800000000000002</v>
      </c>
      <c r="K64" s="22">
        <f t="shared" si="25"/>
        <v>0.70949720670391059</v>
      </c>
      <c r="L64" s="22">
        <f t="shared" si="25"/>
        <v>0.77733598409542748</v>
      </c>
      <c r="M64" s="22">
        <f t="shared" si="25"/>
        <v>0.21739130434782608</v>
      </c>
      <c r="N64" s="23">
        <f t="shared" si="25"/>
        <v>0</v>
      </c>
      <c r="O64" s="22">
        <f t="shared" si="25"/>
        <v>0.58904109589041098</v>
      </c>
      <c r="P64" s="22">
        <f t="shared" si="25"/>
        <v>0</v>
      </c>
      <c r="Q64" s="25">
        <f t="shared" si="25"/>
        <v>0.64391000775795193</v>
      </c>
      <c r="R64" s="22">
        <f t="shared" si="25"/>
        <v>0.72810218978102192</v>
      </c>
      <c r="S64" s="22">
        <f t="shared" si="25"/>
        <v>0.77439024390243905</v>
      </c>
      <c r="T64" s="22">
        <f t="shared" si="25"/>
        <v>0.21311475409836064</v>
      </c>
      <c r="U64" s="22">
        <f t="shared" si="25"/>
        <v>0</v>
      </c>
      <c r="V64" s="22">
        <f t="shared" si="25"/>
        <v>0</v>
      </c>
      <c r="W64" s="22">
        <f t="shared" si="25"/>
        <v>0.5636363636363636</v>
      </c>
      <c r="X64" s="22">
        <f t="shared" si="25"/>
        <v>0</v>
      </c>
      <c r="Y64" s="25">
        <f t="shared" si="25"/>
        <v>0.6544876886417792</v>
      </c>
    </row>
    <row r="65" spans="2:26" ht="17" customHeight="1">
      <c r="C65" s="11" t="s">
        <v>115</v>
      </c>
      <c r="D65" s="22">
        <f t="shared" ref="D65:Y65" si="26">D42/D$13</f>
        <v>0.27402135231316727</v>
      </c>
      <c r="E65" s="22">
        <f t="shared" si="26"/>
        <v>0.22420634920634921</v>
      </c>
      <c r="F65" s="22">
        <f t="shared" si="26"/>
        <v>0.67460317460317465</v>
      </c>
      <c r="G65" s="23">
        <f t="shared" si="26"/>
        <v>1</v>
      </c>
      <c r="H65" s="22">
        <f t="shared" si="26"/>
        <v>0.37037037037037035</v>
      </c>
      <c r="I65" s="22">
        <f t="shared" si="26"/>
        <v>1</v>
      </c>
      <c r="J65" s="25">
        <f t="shared" si="26"/>
        <v>0.35199999999999998</v>
      </c>
      <c r="K65" s="22">
        <f t="shared" si="26"/>
        <v>0.29050279329608941</v>
      </c>
      <c r="L65" s="22">
        <f t="shared" si="26"/>
        <v>0.22266401590457258</v>
      </c>
      <c r="M65" s="22">
        <f t="shared" si="26"/>
        <v>0.78260869565217395</v>
      </c>
      <c r="N65" s="23">
        <f t="shared" si="26"/>
        <v>1</v>
      </c>
      <c r="O65" s="22">
        <f t="shared" si="26"/>
        <v>0.41095890410958902</v>
      </c>
      <c r="P65" s="22">
        <f t="shared" si="26"/>
        <v>1</v>
      </c>
      <c r="Q65" s="25">
        <f t="shared" si="26"/>
        <v>0.35608999224204813</v>
      </c>
      <c r="R65" s="22">
        <f t="shared" si="26"/>
        <v>0.27189781021897808</v>
      </c>
      <c r="S65" s="22">
        <f t="shared" si="26"/>
        <v>0.22560975609756098</v>
      </c>
      <c r="T65" s="22">
        <f t="shared" si="26"/>
        <v>0.78688524590163933</v>
      </c>
      <c r="U65" s="22">
        <f t="shared" si="26"/>
        <v>1</v>
      </c>
      <c r="V65" s="22">
        <f t="shared" si="26"/>
        <v>1</v>
      </c>
      <c r="W65" s="22">
        <f t="shared" si="26"/>
        <v>0.43636363636363634</v>
      </c>
      <c r="X65" s="22">
        <f t="shared" si="26"/>
        <v>1</v>
      </c>
      <c r="Y65" s="25">
        <f t="shared" si="26"/>
        <v>0.3455123113582208</v>
      </c>
    </row>
    <row r="66" spans="2:26" ht="17" customHeight="1" thickBot="1">
      <c r="B66" s="27"/>
      <c r="C66" s="28"/>
      <c r="D66" s="29"/>
      <c r="E66" s="29"/>
      <c r="F66" s="29"/>
      <c r="G66" s="30"/>
      <c r="H66" s="29"/>
      <c r="I66" s="29"/>
      <c r="J66" s="29"/>
      <c r="K66" s="29"/>
      <c r="L66" s="29"/>
      <c r="M66" s="29"/>
      <c r="N66" s="30"/>
      <c r="O66" s="29"/>
      <c r="P66" s="29"/>
      <c r="Q66" s="29"/>
      <c r="R66" s="29"/>
      <c r="S66" s="29"/>
      <c r="T66" s="29"/>
      <c r="U66" s="29"/>
      <c r="V66" s="29"/>
      <c r="W66" s="29"/>
      <c r="X66" s="29"/>
      <c r="Y66" s="29"/>
      <c r="Z66" s="22"/>
    </row>
    <row r="67" spans="2:26">
      <c r="B67" s="10" t="s">
        <v>116</v>
      </c>
      <c r="C67" s="11"/>
      <c r="J67" s="2"/>
      <c r="Q67" s="2"/>
      <c r="Y67" s="2"/>
    </row>
    <row r="68" spans="2:26" ht="16" customHeight="1">
      <c r="C68" s="11" t="s">
        <v>117</v>
      </c>
      <c r="D68" s="40">
        <v>186</v>
      </c>
      <c r="E68" s="40">
        <v>147</v>
      </c>
      <c r="F68" s="40">
        <v>21</v>
      </c>
      <c r="G68" s="40">
        <v>15</v>
      </c>
      <c r="H68" s="40">
        <v>18</v>
      </c>
      <c r="I68" s="3">
        <v>3</v>
      </c>
      <c r="J68" s="13">
        <f>SUM(D68:I68)</f>
        <v>390</v>
      </c>
      <c r="K68" s="3">
        <v>137</v>
      </c>
      <c r="L68" s="3">
        <v>117</v>
      </c>
      <c r="M68" s="3">
        <v>10</v>
      </c>
      <c r="N68" s="4">
        <v>15</v>
      </c>
      <c r="O68" s="3">
        <v>15</v>
      </c>
      <c r="P68" s="3">
        <v>2</v>
      </c>
      <c r="Q68" s="13">
        <f>SUM(K68:P68)</f>
        <v>296</v>
      </c>
      <c r="R68" s="3">
        <f t="shared" ref="R68:Y68" si="27">R54/R$13</f>
        <v>5.2919708029197078E-2</v>
      </c>
      <c r="S68" s="3">
        <f t="shared" si="27"/>
        <v>4.0650406504065045E-3</v>
      </c>
      <c r="T68" s="3">
        <f t="shared" si="27"/>
        <v>3.2786885245901641E-2</v>
      </c>
      <c r="U68" s="3">
        <f t="shared" si="27"/>
        <v>0</v>
      </c>
      <c r="V68" s="3">
        <f t="shared" si="27"/>
        <v>0</v>
      </c>
      <c r="W68" s="3">
        <f t="shared" si="27"/>
        <v>0.2</v>
      </c>
      <c r="X68" s="3">
        <f t="shared" si="27"/>
        <v>0</v>
      </c>
      <c r="Y68" s="13">
        <f t="shared" si="27"/>
        <v>3.4948371723590152E-2</v>
      </c>
    </row>
    <row r="69" spans="2:26" ht="17" customHeight="1">
      <c r="C69" s="11" t="s">
        <v>118</v>
      </c>
      <c r="D69" s="40">
        <v>327</v>
      </c>
      <c r="E69" s="40">
        <v>310</v>
      </c>
      <c r="F69" s="40">
        <f>86+3</f>
        <v>89</v>
      </c>
      <c r="G69" s="40">
        <f>55+1</f>
        <v>56</v>
      </c>
      <c r="H69" s="40">
        <v>47</v>
      </c>
      <c r="I69" s="3">
        <v>9</v>
      </c>
      <c r="J69" s="13">
        <f t="shared" ref="J69:J70" si="28">SUM(D69:I69)</f>
        <v>838</v>
      </c>
      <c r="K69" s="3">
        <v>340</v>
      </c>
      <c r="L69" s="3">
        <v>330</v>
      </c>
      <c r="M69" s="3">
        <f>45+3</f>
        <v>48</v>
      </c>
      <c r="N69" s="4">
        <v>55</v>
      </c>
      <c r="O69" s="3">
        <v>43</v>
      </c>
      <c r="P69" s="3">
        <v>12</v>
      </c>
      <c r="Q69" s="13">
        <f t="shared" ref="Q69:Q70" si="29">SUM(K69:P69)</f>
        <v>828</v>
      </c>
      <c r="R69" s="3">
        <f t="shared" ref="R69:Y69" si="30">R45/R$13</f>
        <v>0.10766423357664233</v>
      </c>
      <c r="S69" s="3">
        <f t="shared" si="30"/>
        <v>3.4552845528455285E-2</v>
      </c>
      <c r="T69" s="3">
        <f t="shared" si="30"/>
        <v>0.65573770491803274</v>
      </c>
      <c r="U69" s="3">
        <f t="shared" si="30"/>
        <v>0</v>
      </c>
      <c r="V69" s="3">
        <f t="shared" si="30"/>
        <v>0.36764705882352944</v>
      </c>
      <c r="W69" s="3">
        <f t="shared" si="30"/>
        <v>0.27272727272727271</v>
      </c>
      <c r="X69" s="3">
        <f t="shared" si="30"/>
        <v>0</v>
      </c>
      <c r="Y69" s="13">
        <f t="shared" si="30"/>
        <v>0.12390786338363781</v>
      </c>
    </row>
    <row r="70" spans="2:26" ht="17" customHeight="1">
      <c r="C70" s="11" t="s">
        <v>119</v>
      </c>
      <c r="D70" s="40">
        <f>47+2</f>
        <v>49</v>
      </c>
      <c r="E70" s="40">
        <v>47</v>
      </c>
      <c r="F70" s="40">
        <f>8+8</f>
        <v>16</v>
      </c>
      <c r="G70" s="40">
        <f>9+3</f>
        <v>12</v>
      </c>
      <c r="H70" s="40">
        <f>15+1</f>
        <v>16</v>
      </c>
      <c r="I70" s="3">
        <v>7</v>
      </c>
      <c r="J70" s="13">
        <f t="shared" si="28"/>
        <v>147</v>
      </c>
      <c r="K70" s="3">
        <v>60</v>
      </c>
      <c r="L70" s="3">
        <v>56</v>
      </c>
      <c r="M70" s="3">
        <f>6+5</f>
        <v>11</v>
      </c>
      <c r="N70" s="4">
        <v>12</v>
      </c>
      <c r="O70" s="3">
        <v>15</v>
      </c>
      <c r="P70" s="3">
        <v>11</v>
      </c>
      <c r="Q70" s="13">
        <f t="shared" si="29"/>
        <v>165</v>
      </c>
      <c r="R70" s="3"/>
      <c r="S70" s="3"/>
      <c r="T70" s="3"/>
      <c r="U70" s="3"/>
      <c r="V70" s="3"/>
      <c r="W70" s="3"/>
      <c r="X70" s="3"/>
      <c r="Y70" s="13">
        <v>0</v>
      </c>
    </row>
    <row r="71" spans="2:26" ht="17" customHeight="1">
      <c r="B71" s="26" t="s">
        <v>120</v>
      </c>
      <c r="C71" s="11"/>
      <c r="D71" s="41"/>
      <c r="E71" s="41"/>
      <c r="F71" s="41"/>
      <c r="G71" s="41"/>
      <c r="H71" s="41"/>
      <c r="I71" s="22"/>
      <c r="J71" s="22"/>
      <c r="K71" s="22"/>
      <c r="L71" s="22"/>
      <c r="M71" s="22"/>
      <c r="N71" s="23"/>
      <c r="O71" s="22"/>
      <c r="P71" s="22"/>
      <c r="Q71" s="22"/>
      <c r="R71" s="22"/>
      <c r="S71" s="22"/>
      <c r="T71" s="22"/>
      <c r="U71" s="22"/>
      <c r="V71" s="22"/>
      <c r="W71" s="22"/>
      <c r="X71" s="22"/>
      <c r="Y71" s="22"/>
      <c r="Z71" s="22"/>
    </row>
    <row r="72" spans="2:26" ht="17" customHeight="1" thickBot="1">
      <c r="B72" s="27"/>
      <c r="C72" s="28"/>
      <c r="D72" s="28"/>
      <c r="E72" s="28"/>
      <c r="F72" s="28"/>
      <c r="G72" s="28"/>
      <c r="H72" s="28"/>
      <c r="I72" s="29"/>
      <c r="J72" s="29"/>
      <c r="K72" s="29"/>
      <c r="L72" s="29"/>
      <c r="M72" s="29"/>
      <c r="N72" s="30"/>
      <c r="O72" s="29"/>
      <c r="P72" s="29"/>
      <c r="Q72" s="29"/>
      <c r="R72" s="29"/>
      <c r="S72" s="29"/>
      <c r="T72" s="29"/>
      <c r="U72" s="29"/>
      <c r="V72" s="29"/>
      <c r="W72" s="29"/>
      <c r="X72" s="29"/>
      <c r="Y72" s="29"/>
      <c r="Z72" s="22"/>
    </row>
    <row r="73" spans="2:26">
      <c r="B73" s="10" t="s">
        <v>121</v>
      </c>
      <c r="C73" s="11"/>
      <c r="J73" s="2"/>
      <c r="Q73" s="2"/>
      <c r="Y73" s="2"/>
    </row>
    <row r="74" spans="2:26" ht="16">
      <c r="C74" s="11" t="s">
        <v>122</v>
      </c>
      <c r="D74" s="42">
        <f>81+D80</f>
        <v>83</v>
      </c>
      <c r="E74" s="42">
        <v>60</v>
      </c>
      <c r="F74" s="42">
        <f>33+F80</f>
        <v>40</v>
      </c>
      <c r="G74" s="42">
        <f>34+G80</f>
        <v>38</v>
      </c>
      <c r="H74" s="42">
        <f>13+H80</f>
        <v>14</v>
      </c>
      <c r="I74" s="12">
        <v>7</v>
      </c>
      <c r="J74" s="13">
        <f>SUM(D74:I74)</f>
        <v>242</v>
      </c>
      <c r="K74" s="42">
        <v>85</v>
      </c>
      <c r="L74" s="42">
        <v>54</v>
      </c>
      <c r="M74" s="42">
        <v>19</v>
      </c>
      <c r="N74" s="42">
        <v>35</v>
      </c>
      <c r="O74" s="42">
        <f>4+5</f>
        <v>9</v>
      </c>
      <c r="P74" s="12">
        <f>5+7</f>
        <v>12</v>
      </c>
      <c r="Q74" s="13">
        <f>SUM(K74:P74)</f>
        <v>214</v>
      </c>
      <c r="R74" s="14">
        <v>9</v>
      </c>
      <c r="S74" s="14">
        <v>11</v>
      </c>
      <c r="T74" s="14">
        <v>7</v>
      </c>
      <c r="U74" s="14">
        <v>2</v>
      </c>
      <c r="V74" s="14">
        <v>9</v>
      </c>
      <c r="W74" s="14">
        <v>5</v>
      </c>
      <c r="X74" s="14">
        <v>21</v>
      </c>
      <c r="Y74" s="13">
        <f>SUM(R74:X74)</f>
        <v>64</v>
      </c>
    </row>
    <row r="75" spans="2:26" ht="17" customHeight="1">
      <c r="C75" s="11" t="s">
        <v>123</v>
      </c>
      <c r="D75" s="42">
        <v>14</v>
      </c>
      <c r="E75" s="42">
        <v>11</v>
      </c>
      <c r="F75" s="42">
        <v>8</v>
      </c>
      <c r="G75" s="42">
        <v>15</v>
      </c>
      <c r="H75" s="42">
        <v>5</v>
      </c>
      <c r="I75" s="12">
        <v>5</v>
      </c>
      <c r="J75" s="13">
        <f>SUM(D75:I75)</f>
        <v>58</v>
      </c>
      <c r="K75" s="42">
        <v>12</v>
      </c>
      <c r="L75" s="42">
        <v>10</v>
      </c>
      <c r="M75" s="42">
        <v>5</v>
      </c>
      <c r="N75" s="42">
        <v>14</v>
      </c>
      <c r="O75" s="42">
        <f>3+0</f>
        <v>3</v>
      </c>
      <c r="P75" s="12">
        <v>5</v>
      </c>
      <c r="Q75" s="13">
        <f>SUM(K75:P75)</f>
        <v>49</v>
      </c>
      <c r="R75" s="14">
        <v>1</v>
      </c>
      <c r="S75" s="14">
        <v>4</v>
      </c>
      <c r="T75" s="14">
        <v>1</v>
      </c>
      <c r="U75" s="14">
        <v>0</v>
      </c>
      <c r="V75" s="14">
        <v>1</v>
      </c>
      <c r="W75" s="14">
        <v>4</v>
      </c>
      <c r="X75" s="14">
        <v>3</v>
      </c>
      <c r="Y75" s="13">
        <f>SUM(R75:X75)</f>
        <v>14</v>
      </c>
    </row>
    <row r="76" spans="2:26" s="15" customFormat="1" ht="16" customHeight="1">
      <c r="C76" s="16" t="s">
        <v>124</v>
      </c>
      <c r="D76" s="43">
        <f>SUM(D74:D75)</f>
        <v>97</v>
      </c>
      <c r="E76" s="43">
        <f>SUM(E74:E75)</f>
        <v>71</v>
      </c>
      <c r="F76" s="43">
        <f>SUM(F74:F75)</f>
        <v>48</v>
      </c>
      <c r="G76" s="43">
        <f t="shared" ref="G76:I76" si="31">SUM(G74:G75)</f>
        <v>53</v>
      </c>
      <c r="H76" s="43">
        <f t="shared" si="31"/>
        <v>19</v>
      </c>
      <c r="I76" s="43">
        <f t="shared" si="31"/>
        <v>12</v>
      </c>
      <c r="J76" s="33">
        <f>SUM(J74:J75)</f>
        <v>300</v>
      </c>
      <c r="K76" s="43">
        <f>SUM(K74:K75)</f>
        <v>97</v>
      </c>
      <c r="L76" s="43">
        <f>SUM(L74:L75)</f>
        <v>64</v>
      </c>
      <c r="M76" s="43">
        <f>SUM(M74:M75)</f>
        <v>24</v>
      </c>
      <c r="N76" s="43">
        <f t="shared" ref="N76:P76" si="32">SUM(N74:N75)</f>
        <v>49</v>
      </c>
      <c r="O76" s="43">
        <f t="shared" si="32"/>
        <v>12</v>
      </c>
      <c r="P76" s="43">
        <f t="shared" si="32"/>
        <v>17</v>
      </c>
      <c r="Q76" s="33">
        <f>SUM(Q74:Q75)</f>
        <v>263</v>
      </c>
      <c r="R76" s="17">
        <f t="shared" ref="R76:W76" si="33">SUM(R74:R75)</f>
        <v>10</v>
      </c>
      <c r="S76" s="17">
        <f t="shared" si="33"/>
        <v>15</v>
      </c>
      <c r="T76" s="17">
        <f t="shared" si="33"/>
        <v>8</v>
      </c>
      <c r="U76" s="17">
        <f t="shared" si="33"/>
        <v>2</v>
      </c>
      <c r="V76" s="17">
        <f t="shared" si="33"/>
        <v>10</v>
      </c>
      <c r="W76" s="17">
        <f t="shared" si="33"/>
        <v>9</v>
      </c>
      <c r="X76" s="17">
        <f>SUM(X74:X75)</f>
        <v>24</v>
      </c>
      <c r="Y76" s="33">
        <f t="shared" ref="Y76" si="34">SUM(Y74:Y75)</f>
        <v>78</v>
      </c>
    </row>
    <row r="77" spans="2:26" ht="16" customHeight="1">
      <c r="C77" s="11" t="s">
        <v>100</v>
      </c>
      <c r="D77" s="44">
        <v>16</v>
      </c>
      <c r="E77" s="44">
        <v>36</v>
      </c>
      <c r="F77" s="44">
        <v>0</v>
      </c>
      <c r="G77" s="44">
        <v>13</v>
      </c>
      <c r="H77" s="44">
        <v>8</v>
      </c>
      <c r="I77" s="44">
        <v>5</v>
      </c>
      <c r="J77" s="13">
        <f t="shared" ref="J77:J80" si="35">SUM(D77:I77)</f>
        <v>78</v>
      </c>
      <c r="K77" s="42">
        <v>16</v>
      </c>
      <c r="L77" s="42">
        <v>33</v>
      </c>
      <c r="M77" s="42">
        <v>0</v>
      </c>
      <c r="N77" s="42">
        <v>4</v>
      </c>
      <c r="O77" s="42">
        <f>3+0</f>
        <v>3</v>
      </c>
      <c r="P77" s="12">
        <v>0</v>
      </c>
      <c r="Q77" s="13">
        <f t="shared" ref="Q77:Q80" si="36">SUM(K77:P77)</f>
        <v>56</v>
      </c>
      <c r="R77" s="14" t="s">
        <v>16</v>
      </c>
      <c r="S77" s="14" t="s">
        <v>16</v>
      </c>
      <c r="T77" s="14" t="s">
        <v>16</v>
      </c>
      <c r="U77" s="14" t="s">
        <v>16</v>
      </c>
      <c r="V77" s="14" t="s">
        <v>16</v>
      </c>
      <c r="W77" s="14" t="s">
        <v>16</v>
      </c>
      <c r="X77" s="14" t="s">
        <v>16</v>
      </c>
      <c r="Y77" s="13">
        <f>SUM(R77:X77)</f>
        <v>0</v>
      </c>
    </row>
    <row r="78" spans="2:26" ht="16">
      <c r="C78" s="11" t="s">
        <v>101</v>
      </c>
      <c r="D78" s="44">
        <v>37</v>
      </c>
      <c r="E78" s="44">
        <v>6</v>
      </c>
      <c r="F78" s="44">
        <v>2</v>
      </c>
      <c r="G78" s="44">
        <v>8</v>
      </c>
      <c r="H78" s="44">
        <v>1</v>
      </c>
      <c r="I78" s="44">
        <v>6</v>
      </c>
      <c r="J78" s="13">
        <f t="shared" si="35"/>
        <v>60</v>
      </c>
      <c r="K78" s="42">
        <v>33</v>
      </c>
      <c r="L78" s="42">
        <v>4</v>
      </c>
      <c r="M78" s="42">
        <v>0</v>
      </c>
      <c r="N78" s="42">
        <v>13</v>
      </c>
      <c r="O78" s="42">
        <f>0+3</f>
        <v>3</v>
      </c>
      <c r="P78" s="12">
        <v>10</v>
      </c>
      <c r="Q78" s="13">
        <f t="shared" si="36"/>
        <v>63</v>
      </c>
      <c r="R78" s="14">
        <v>5</v>
      </c>
      <c r="S78" s="14">
        <v>13</v>
      </c>
      <c r="T78" s="14">
        <v>0</v>
      </c>
      <c r="U78" s="14">
        <v>2</v>
      </c>
      <c r="V78" s="14">
        <v>7</v>
      </c>
      <c r="W78" s="14">
        <v>4</v>
      </c>
      <c r="X78" s="14">
        <v>6</v>
      </c>
      <c r="Y78" s="13">
        <f>SUM(R78:X78)</f>
        <v>37</v>
      </c>
    </row>
    <row r="79" spans="2:26" ht="16">
      <c r="C79" s="11" t="s">
        <v>102</v>
      </c>
      <c r="D79" s="44">
        <v>42</v>
      </c>
      <c r="E79" s="44">
        <v>29</v>
      </c>
      <c r="F79" s="44">
        <v>39</v>
      </c>
      <c r="G79" s="44">
        <v>28</v>
      </c>
      <c r="H79" s="44">
        <v>9</v>
      </c>
      <c r="I79" s="44">
        <v>0</v>
      </c>
      <c r="J79" s="13">
        <f t="shared" si="35"/>
        <v>147</v>
      </c>
      <c r="K79" s="42">
        <v>48</v>
      </c>
      <c r="L79" s="42">
        <v>27</v>
      </c>
      <c r="M79" s="42">
        <v>22</v>
      </c>
      <c r="N79" s="42">
        <v>28</v>
      </c>
      <c r="O79" s="42">
        <f>4+2</f>
        <v>6</v>
      </c>
      <c r="P79" s="12">
        <v>0</v>
      </c>
      <c r="Q79" s="13">
        <f t="shared" si="36"/>
        <v>131</v>
      </c>
      <c r="R79" s="14">
        <v>5</v>
      </c>
      <c r="S79" s="14">
        <v>2</v>
      </c>
      <c r="T79" s="14">
        <v>8</v>
      </c>
      <c r="U79" s="14">
        <v>0</v>
      </c>
      <c r="V79" s="14">
        <v>3</v>
      </c>
      <c r="W79" s="14">
        <v>5</v>
      </c>
      <c r="X79" s="14">
        <v>0</v>
      </c>
      <c r="Y79" s="13">
        <f>SUM(R79:X79)</f>
        <v>23</v>
      </c>
    </row>
    <row r="80" spans="2:26" ht="16">
      <c r="C80" s="11" t="s">
        <v>103</v>
      </c>
      <c r="D80" s="2">
        <v>2</v>
      </c>
      <c r="E80" s="2">
        <v>0</v>
      </c>
      <c r="F80" s="2">
        <v>7</v>
      </c>
      <c r="G80" s="2">
        <v>4</v>
      </c>
      <c r="H80" s="2">
        <v>1</v>
      </c>
      <c r="I80" s="44">
        <v>1</v>
      </c>
      <c r="J80" s="13">
        <f t="shared" si="35"/>
        <v>15</v>
      </c>
      <c r="K80" s="42">
        <v>0</v>
      </c>
      <c r="L80" s="42">
        <v>0</v>
      </c>
      <c r="M80" s="42">
        <v>2</v>
      </c>
      <c r="N80" s="42">
        <v>4</v>
      </c>
      <c r="O80" s="42">
        <v>0</v>
      </c>
      <c r="P80" s="12">
        <v>7</v>
      </c>
      <c r="Q80" s="13">
        <f t="shared" si="36"/>
        <v>13</v>
      </c>
      <c r="R80" s="14">
        <v>0</v>
      </c>
      <c r="S80" s="14">
        <v>0</v>
      </c>
      <c r="T80" s="14">
        <v>0</v>
      </c>
      <c r="U80" s="14">
        <v>0</v>
      </c>
      <c r="V80" s="14">
        <v>0</v>
      </c>
      <c r="W80" s="14">
        <v>0</v>
      </c>
      <c r="X80" s="14">
        <v>18</v>
      </c>
      <c r="Y80" s="13">
        <f>SUM(R80:X80)</f>
        <v>18</v>
      </c>
    </row>
    <row r="81" spans="2:26" ht="30" customHeight="1">
      <c r="C81" s="11" t="s">
        <v>125</v>
      </c>
      <c r="D81" s="22">
        <f t="shared" ref="D81:Q81" si="37">(D77+D78)/D76</f>
        <v>0.54639175257731953</v>
      </c>
      <c r="E81" s="22">
        <f t="shared" si="37"/>
        <v>0.59154929577464788</v>
      </c>
      <c r="F81" s="22">
        <f t="shared" si="37"/>
        <v>4.1666666666666664E-2</v>
      </c>
      <c r="G81" s="22">
        <f t="shared" si="37"/>
        <v>0.39622641509433965</v>
      </c>
      <c r="H81" s="22">
        <f t="shared" si="37"/>
        <v>0.47368421052631576</v>
      </c>
      <c r="I81" s="22">
        <f t="shared" si="37"/>
        <v>0.91666666666666663</v>
      </c>
      <c r="J81" s="25">
        <f t="shared" si="37"/>
        <v>0.46</v>
      </c>
      <c r="K81" s="22">
        <f t="shared" si="37"/>
        <v>0.50515463917525771</v>
      </c>
      <c r="L81" s="22">
        <f t="shared" si="37"/>
        <v>0.578125</v>
      </c>
      <c r="M81" s="22">
        <f t="shared" si="37"/>
        <v>0</v>
      </c>
      <c r="N81" s="22">
        <f t="shared" si="37"/>
        <v>0.34693877551020408</v>
      </c>
      <c r="O81" s="22">
        <f t="shared" si="37"/>
        <v>0.5</v>
      </c>
      <c r="P81" s="22">
        <f t="shared" si="37"/>
        <v>0.58823529411764708</v>
      </c>
      <c r="Q81" s="25">
        <f t="shared" si="37"/>
        <v>0.45247148288973382</v>
      </c>
      <c r="R81" s="22">
        <f>(R78)/R76</f>
        <v>0.5</v>
      </c>
      <c r="S81" s="22">
        <f t="shared" ref="S81:X81" si="38">(S78)/S76</f>
        <v>0.8666666666666667</v>
      </c>
      <c r="T81" s="22">
        <f t="shared" si="38"/>
        <v>0</v>
      </c>
      <c r="U81" s="22">
        <f t="shared" si="38"/>
        <v>1</v>
      </c>
      <c r="V81" s="22">
        <f t="shared" si="38"/>
        <v>0.7</v>
      </c>
      <c r="W81" s="22">
        <f t="shared" si="38"/>
        <v>0.44444444444444442</v>
      </c>
      <c r="X81" s="22">
        <f t="shared" si="38"/>
        <v>0.25</v>
      </c>
      <c r="Y81" s="25">
        <f>(Y77+Y78)/Y76</f>
        <v>0.47435897435897434</v>
      </c>
    </row>
    <row r="82" spans="2:26" ht="30" customHeight="1">
      <c r="C82" s="11" t="s">
        <v>126</v>
      </c>
      <c r="D82" s="22">
        <f t="shared" ref="D82:X82" si="39">D79/D76</f>
        <v>0.4329896907216495</v>
      </c>
      <c r="E82" s="22">
        <f t="shared" si="39"/>
        <v>0.40845070422535212</v>
      </c>
      <c r="F82" s="22">
        <f t="shared" si="39"/>
        <v>0.8125</v>
      </c>
      <c r="G82" s="23">
        <f t="shared" si="39"/>
        <v>0.52830188679245282</v>
      </c>
      <c r="H82" s="22">
        <f t="shared" si="39"/>
        <v>0.47368421052631576</v>
      </c>
      <c r="I82" s="22">
        <f t="shared" si="39"/>
        <v>0</v>
      </c>
      <c r="J82" s="25">
        <f t="shared" si="39"/>
        <v>0.49</v>
      </c>
      <c r="K82" s="22">
        <f t="shared" si="39"/>
        <v>0.49484536082474229</v>
      </c>
      <c r="L82" s="22">
        <f t="shared" si="39"/>
        <v>0.421875</v>
      </c>
      <c r="M82" s="22">
        <f t="shared" si="39"/>
        <v>0.91666666666666663</v>
      </c>
      <c r="N82" s="23">
        <f t="shared" si="39"/>
        <v>0.5714285714285714</v>
      </c>
      <c r="O82" s="22">
        <f t="shared" si="39"/>
        <v>0.5</v>
      </c>
      <c r="P82" s="22">
        <f t="shared" si="39"/>
        <v>0</v>
      </c>
      <c r="Q82" s="25">
        <f t="shared" si="39"/>
        <v>0.49809885931558934</v>
      </c>
      <c r="R82" s="22">
        <f t="shared" si="39"/>
        <v>0.5</v>
      </c>
      <c r="S82" s="22">
        <f t="shared" si="39"/>
        <v>0.13333333333333333</v>
      </c>
      <c r="T82" s="22">
        <f t="shared" si="39"/>
        <v>1</v>
      </c>
      <c r="U82" s="22">
        <f t="shared" si="39"/>
        <v>0</v>
      </c>
      <c r="V82" s="22">
        <f t="shared" si="39"/>
        <v>0.3</v>
      </c>
      <c r="W82" s="22">
        <f t="shared" si="39"/>
        <v>0.55555555555555558</v>
      </c>
      <c r="X82" s="22">
        <f t="shared" si="39"/>
        <v>0</v>
      </c>
      <c r="Y82" s="25">
        <f>Y79/Y76</f>
        <v>0.29487179487179488</v>
      </c>
    </row>
    <row r="83" spans="2:26" ht="16" customHeight="1">
      <c r="C83" s="11" t="s">
        <v>127</v>
      </c>
      <c r="D83" s="22">
        <f t="shared" ref="D83:X83" si="40">D80/D76</f>
        <v>2.0618556701030927E-2</v>
      </c>
      <c r="E83" s="22">
        <f t="shared" si="40"/>
        <v>0</v>
      </c>
      <c r="F83" s="22">
        <f t="shared" si="40"/>
        <v>0.14583333333333334</v>
      </c>
      <c r="G83" s="23">
        <f t="shared" si="40"/>
        <v>7.5471698113207544E-2</v>
      </c>
      <c r="H83" s="22">
        <f t="shared" si="40"/>
        <v>5.2631578947368418E-2</v>
      </c>
      <c r="I83" s="22">
        <f t="shared" si="40"/>
        <v>8.3333333333333329E-2</v>
      </c>
      <c r="J83" s="25">
        <f t="shared" si="40"/>
        <v>0.05</v>
      </c>
      <c r="K83" s="22">
        <f t="shared" si="40"/>
        <v>0</v>
      </c>
      <c r="L83" s="22">
        <f t="shared" si="40"/>
        <v>0</v>
      </c>
      <c r="M83" s="22">
        <f t="shared" si="40"/>
        <v>8.3333333333333329E-2</v>
      </c>
      <c r="N83" s="23">
        <f t="shared" si="40"/>
        <v>8.1632653061224483E-2</v>
      </c>
      <c r="O83" s="22">
        <f t="shared" si="40"/>
        <v>0</v>
      </c>
      <c r="P83" s="22">
        <f t="shared" si="40"/>
        <v>0.41176470588235292</v>
      </c>
      <c r="Q83" s="25">
        <f t="shared" si="40"/>
        <v>4.9429657794676805E-2</v>
      </c>
      <c r="R83" s="22">
        <f t="shared" si="40"/>
        <v>0</v>
      </c>
      <c r="S83" s="22">
        <f t="shared" si="40"/>
        <v>0</v>
      </c>
      <c r="T83" s="22">
        <f t="shared" si="40"/>
        <v>0</v>
      </c>
      <c r="U83" s="22">
        <f t="shared" si="40"/>
        <v>0</v>
      </c>
      <c r="V83" s="22">
        <f t="shared" si="40"/>
        <v>0</v>
      </c>
      <c r="W83" s="22">
        <f t="shared" si="40"/>
        <v>0</v>
      </c>
      <c r="X83" s="22">
        <f t="shared" si="40"/>
        <v>0.75</v>
      </c>
      <c r="Y83" s="25">
        <f>Y80/Y76</f>
        <v>0.23076923076923078</v>
      </c>
    </row>
    <row r="84" spans="2:26" ht="16" customHeight="1">
      <c r="C84" s="11" t="s">
        <v>128</v>
      </c>
      <c r="D84" s="22">
        <f t="shared" ref="D84:X84" si="41">D75/D76</f>
        <v>0.14432989690721648</v>
      </c>
      <c r="E84" s="22">
        <f t="shared" si="41"/>
        <v>0.15492957746478872</v>
      </c>
      <c r="F84" s="22">
        <f t="shared" si="41"/>
        <v>0.16666666666666666</v>
      </c>
      <c r="G84" s="23">
        <f t="shared" si="41"/>
        <v>0.28301886792452829</v>
      </c>
      <c r="H84" s="22">
        <f t="shared" si="41"/>
        <v>0.26315789473684209</v>
      </c>
      <c r="I84" s="22">
        <f t="shared" si="41"/>
        <v>0.41666666666666669</v>
      </c>
      <c r="J84" s="24">
        <f t="shared" si="41"/>
        <v>0.19333333333333333</v>
      </c>
      <c r="K84" s="22">
        <f t="shared" si="41"/>
        <v>0.12371134020618557</v>
      </c>
      <c r="L84" s="22">
        <f t="shared" si="41"/>
        <v>0.15625</v>
      </c>
      <c r="M84" s="22">
        <f t="shared" si="41"/>
        <v>0.20833333333333334</v>
      </c>
      <c r="N84" s="23">
        <f t="shared" si="41"/>
        <v>0.2857142857142857</v>
      </c>
      <c r="O84" s="22">
        <f t="shared" si="41"/>
        <v>0.25</v>
      </c>
      <c r="P84" s="22">
        <f t="shared" si="41"/>
        <v>0.29411764705882354</v>
      </c>
      <c r="Q84" s="24">
        <f t="shared" si="41"/>
        <v>0.18631178707224336</v>
      </c>
      <c r="R84" s="22">
        <f t="shared" si="41"/>
        <v>0.1</v>
      </c>
      <c r="S84" s="22">
        <f t="shared" si="41"/>
        <v>0.26666666666666666</v>
      </c>
      <c r="T84" s="22">
        <f t="shared" si="41"/>
        <v>0.125</v>
      </c>
      <c r="U84" s="22">
        <f t="shared" si="41"/>
        <v>0</v>
      </c>
      <c r="V84" s="22">
        <f t="shared" si="41"/>
        <v>0.1</v>
      </c>
      <c r="W84" s="22">
        <f t="shared" si="41"/>
        <v>0.44444444444444442</v>
      </c>
      <c r="X84" s="22">
        <f t="shared" si="41"/>
        <v>0.125</v>
      </c>
      <c r="Y84" s="24">
        <f>Y75/Y76</f>
        <v>0.17948717948717949</v>
      </c>
    </row>
    <row r="85" spans="2:26" ht="16" customHeight="1">
      <c r="C85" s="11" t="s">
        <v>87</v>
      </c>
      <c r="D85" s="42">
        <v>0</v>
      </c>
      <c r="E85" s="42">
        <v>0</v>
      </c>
      <c r="F85" s="42">
        <v>0</v>
      </c>
      <c r="G85" s="42">
        <v>0</v>
      </c>
      <c r="H85" s="42">
        <v>0</v>
      </c>
      <c r="I85" s="12">
        <v>0</v>
      </c>
      <c r="J85" s="13">
        <f>SUM(D85:I85)</f>
        <v>0</v>
      </c>
      <c r="K85" s="42">
        <v>0</v>
      </c>
      <c r="L85" s="42">
        <v>0</v>
      </c>
      <c r="M85" s="42">
        <v>0</v>
      </c>
      <c r="N85" s="42">
        <v>0</v>
      </c>
      <c r="O85" s="42">
        <v>0</v>
      </c>
      <c r="P85" s="12">
        <v>0</v>
      </c>
      <c r="Q85" s="13">
        <f>SUM(K85:P85)</f>
        <v>0</v>
      </c>
      <c r="R85" s="14"/>
      <c r="S85" s="14">
        <v>0</v>
      </c>
      <c r="T85" s="14">
        <v>0</v>
      </c>
      <c r="U85" s="14">
        <v>0</v>
      </c>
      <c r="V85" s="14">
        <v>1</v>
      </c>
      <c r="W85" s="14">
        <v>0</v>
      </c>
      <c r="X85" s="14">
        <v>0</v>
      </c>
      <c r="Y85" s="13">
        <f>SUM(R85:X85)</f>
        <v>1</v>
      </c>
    </row>
    <row r="86" spans="2:26" ht="17" customHeight="1">
      <c r="B86" s="26" t="s">
        <v>129</v>
      </c>
      <c r="I86" s="22"/>
      <c r="J86" s="22"/>
      <c r="P86" s="22"/>
      <c r="Q86" s="22"/>
      <c r="R86" s="22"/>
      <c r="S86" s="22"/>
      <c r="T86" s="22"/>
      <c r="U86" s="22"/>
      <c r="V86" s="22"/>
      <c r="W86" s="22"/>
      <c r="X86" s="22"/>
      <c r="Y86" s="22"/>
      <c r="Z86" s="22"/>
    </row>
    <row r="87" spans="2:26" ht="17" customHeight="1" thickBot="1">
      <c r="B87" s="27"/>
      <c r="C87" s="28"/>
      <c r="D87" s="29"/>
      <c r="E87" s="29"/>
      <c r="F87" s="29"/>
      <c r="G87" s="30"/>
      <c r="H87" s="29"/>
      <c r="I87" s="29"/>
      <c r="J87" s="29"/>
      <c r="K87" s="29"/>
      <c r="L87" s="29"/>
      <c r="M87" s="29"/>
      <c r="N87" s="30"/>
      <c r="O87" s="29"/>
      <c r="P87" s="29"/>
      <c r="Q87" s="29"/>
      <c r="R87" s="29"/>
      <c r="S87" s="29"/>
      <c r="T87" s="29"/>
      <c r="U87" s="29"/>
      <c r="V87" s="29"/>
      <c r="W87" s="29"/>
      <c r="X87" s="29"/>
      <c r="Y87" s="29"/>
      <c r="Z87" s="22"/>
    </row>
    <row r="88" spans="2:26">
      <c r="B88" s="10" t="s">
        <v>130</v>
      </c>
      <c r="C88" s="11"/>
      <c r="J88" s="2"/>
      <c r="Q88" s="2"/>
      <c r="Y88" s="2"/>
    </row>
    <row r="89" spans="2:26" ht="16" customHeight="1">
      <c r="C89" s="11" t="s">
        <v>131</v>
      </c>
      <c r="D89" s="12">
        <v>71</v>
      </c>
      <c r="E89" s="12">
        <v>5</v>
      </c>
      <c r="F89" s="12">
        <v>62</v>
      </c>
      <c r="G89" s="12">
        <v>6</v>
      </c>
      <c r="H89" s="12">
        <v>40</v>
      </c>
      <c r="I89" s="12">
        <v>2</v>
      </c>
      <c r="J89" s="13">
        <f>SUM(D89:I89)</f>
        <v>186</v>
      </c>
      <c r="K89" s="12">
        <v>64</v>
      </c>
      <c r="L89" s="12">
        <f>67+3</f>
        <v>70</v>
      </c>
      <c r="M89" s="12">
        <v>13</v>
      </c>
      <c r="N89" s="12">
        <v>15</v>
      </c>
      <c r="O89" s="12">
        <f>10+18</f>
        <v>28</v>
      </c>
      <c r="P89" s="12">
        <v>3</v>
      </c>
      <c r="Q89" s="13">
        <f>SUM(K89:P89)</f>
        <v>193</v>
      </c>
      <c r="R89" s="45" t="s">
        <v>16</v>
      </c>
      <c r="S89" s="45" t="s">
        <v>16</v>
      </c>
      <c r="T89" s="45" t="s">
        <v>16</v>
      </c>
      <c r="U89" s="45" t="s">
        <v>16</v>
      </c>
      <c r="V89" s="45" t="s">
        <v>16</v>
      </c>
      <c r="W89" s="45" t="s">
        <v>16</v>
      </c>
      <c r="X89" s="45" t="s">
        <v>16</v>
      </c>
      <c r="Y89" s="46" t="s">
        <v>16</v>
      </c>
    </row>
    <row r="90" spans="2:26" ht="16">
      <c r="C90" s="11" t="s">
        <v>132</v>
      </c>
      <c r="D90" s="12">
        <v>20</v>
      </c>
      <c r="E90" s="12">
        <v>45</v>
      </c>
      <c r="F90" s="12">
        <v>8</v>
      </c>
      <c r="G90" s="12">
        <v>10</v>
      </c>
      <c r="H90" s="12">
        <v>4</v>
      </c>
      <c r="I90" s="12">
        <v>3</v>
      </c>
      <c r="J90" s="13">
        <f>SUM(D90:I90)</f>
        <v>90</v>
      </c>
      <c r="K90" s="12">
        <v>24</v>
      </c>
      <c r="L90" s="12">
        <v>6</v>
      </c>
      <c r="M90" s="12">
        <v>4</v>
      </c>
      <c r="N90" s="12">
        <v>12</v>
      </c>
      <c r="O90" s="12">
        <f>0+3</f>
        <v>3</v>
      </c>
      <c r="P90" s="12">
        <v>4</v>
      </c>
      <c r="Q90" s="13">
        <f>SUM(K90:P90)</f>
        <v>53</v>
      </c>
      <c r="R90" s="45" t="s">
        <v>16</v>
      </c>
      <c r="S90" s="45" t="s">
        <v>16</v>
      </c>
      <c r="T90" s="45" t="s">
        <v>16</v>
      </c>
      <c r="U90" s="45" t="s">
        <v>16</v>
      </c>
      <c r="V90" s="45" t="s">
        <v>16</v>
      </c>
      <c r="W90" s="45" t="s">
        <v>16</v>
      </c>
      <c r="X90" s="45" t="s">
        <v>16</v>
      </c>
      <c r="Y90" s="46" t="s">
        <v>16</v>
      </c>
    </row>
    <row r="91" spans="2:26" s="15" customFormat="1" ht="16" customHeight="1">
      <c r="C91" s="16" t="s">
        <v>133</v>
      </c>
      <c r="D91" s="18">
        <f t="shared" ref="D91:F91" si="42">SUM(D89:D90)</f>
        <v>91</v>
      </c>
      <c r="E91" s="18">
        <f t="shared" si="42"/>
        <v>50</v>
      </c>
      <c r="F91" s="18">
        <f t="shared" si="42"/>
        <v>70</v>
      </c>
      <c r="G91" s="18">
        <f>SUM(G89:G90)</f>
        <v>16</v>
      </c>
      <c r="H91" s="18">
        <f t="shared" ref="H91:Q91" si="43">SUM(H89:H90)</f>
        <v>44</v>
      </c>
      <c r="I91" s="18">
        <f t="shared" si="43"/>
        <v>5</v>
      </c>
      <c r="J91" s="19">
        <f t="shared" si="43"/>
        <v>276</v>
      </c>
      <c r="K91" s="18">
        <f t="shared" si="43"/>
        <v>88</v>
      </c>
      <c r="L91" s="18">
        <f t="shared" si="43"/>
        <v>76</v>
      </c>
      <c r="M91" s="18">
        <f t="shared" si="43"/>
        <v>17</v>
      </c>
      <c r="N91" s="18">
        <f>SUM(N89:N90)</f>
        <v>27</v>
      </c>
      <c r="O91" s="18">
        <f t="shared" si="43"/>
        <v>31</v>
      </c>
      <c r="P91" s="18">
        <f t="shared" si="43"/>
        <v>7</v>
      </c>
      <c r="Q91" s="19">
        <f t="shared" si="43"/>
        <v>246</v>
      </c>
      <c r="R91" s="20">
        <v>122</v>
      </c>
      <c r="S91" s="20">
        <v>167</v>
      </c>
      <c r="T91" s="20">
        <v>50</v>
      </c>
      <c r="U91" s="20">
        <v>23</v>
      </c>
      <c r="V91" s="20">
        <v>23</v>
      </c>
      <c r="W91" s="20">
        <v>22</v>
      </c>
      <c r="X91" s="20">
        <v>12</v>
      </c>
      <c r="Y91" s="19">
        <f t="shared" ref="Y91:Y98" si="44">SUM(R91:X91)</f>
        <v>419</v>
      </c>
    </row>
    <row r="92" spans="2:26" ht="16" customHeight="1">
      <c r="C92" s="11" t="s">
        <v>134</v>
      </c>
      <c r="D92" s="47">
        <v>46</v>
      </c>
      <c r="E92" s="47">
        <v>26</v>
      </c>
      <c r="F92" s="47">
        <v>13</v>
      </c>
      <c r="G92" s="47">
        <v>4</v>
      </c>
      <c r="H92" s="47">
        <v>17</v>
      </c>
      <c r="I92" s="12">
        <v>2</v>
      </c>
      <c r="J92" s="13">
        <f t="shared" ref="J92:J98" si="45">SUM(D92:I92)</f>
        <v>108</v>
      </c>
      <c r="K92" s="12">
        <v>31</v>
      </c>
      <c r="L92" s="12">
        <v>19</v>
      </c>
      <c r="M92" s="12">
        <v>3</v>
      </c>
      <c r="N92" s="12">
        <v>6</v>
      </c>
      <c r="O92" s="12">
        <v>6</v>
      </c>
      <c r="P92" s="12">
        <v>2</v>
      </c>
      <c r="Q92" s="13">
        <f t="shared" ref="Q92:Q102" si="46">SUM(K92:P92)</f>
        <v>67</v>
      </c>
      <c r="R92" s="14"/>
      <c r="S92" s="14"/>
      <c r="T92" s="14"/>
      <c r="U92" s="14"/>
      <c r="V92" s="14"/>
      <c r="W92" s="14"/>
      <c r="X92" s="14"/>
      <c r="Y92" s="13">
        <f t="shared" si="44"/>
        <v>0</v>
      </c>
    </row>
    <row r="93" spans="2:26" ht="16" customHeight="1">
      <c r="C93" s="11" t="s">
        <v>135</v>
      </c>
      <c r="D93" s="47">
        <v>44</v>
      </c>
      <c r="E93" s="47">
        <v>24</v>
      </c>
      <c r="F93" s="47">
        <v>54</v>
      </c>
      <c r="G93" s="47">
        <v>10</v>
      </c>
      <c r="H93" s="47">
        <v>24</v>
      </c>
      <c r="I93" s="12">
        <v>3</v>
      </c>
      <c r="J93" s="13">
        <f t="shared" si="45"/>
        <v>159</v>
      </c>
      <c r="K93" s="12">
        <v>54</v>
      </c>
      <c r="L93" s="12">
        <v>50</v>
      </c>
      <c r="M93" s="12">
        <v>11</v>
      </c>
      <c r="N93" s="12">
        <v>17</v>
      </c>
      <c r="O93" s="12">
        <v>21</v>
      </c>
      <c r="P93" s="12">
        <v>2</v>
      </c>
      <c r="Q93" s="13">
        <f t="shared" si="46"/>
        <v>155</v>
      </c>
      <c r="R93" s="14"/>
      <c r="S93" s="14"/>
      <c r="T93" s="14"/>
      <c r="U93" s="14"/>
      <c r="V93" s="14"/>
      <c r="W93" s="14"/>
      <c r="X93" s="14"/>
      <c r="Y93" s="13">
        <f t="shared" si="44"/>
        <v>0</v>
      </c>
    </row>
    <row r="94" spans="2:26" ht="16" customHeight="1">
      <c r="C94" s="11" t="s">
        <v>136</v>
      </c>
      <c r="D94" s="47">
        <v>1</v>
      </c>
      <c r="E94" s="47">
        <v>0</v>
      </c>
      <c r="F94" s="47">
        <v>3</v>
      </c>
      <c r="G94" s="47">
        <v>2</v>
      </c>
      <c r="H94" s="47">
        <v>3</v>
      </c>
      <c r="I94" s="12">
        <v>0</v>
      </c>
      <c r="J94" s="13">
        <f t="shared" si="45"/>
        <v>9</v>
      </c>
      <c r="K94" s="12">
        <v>3</v>
      </c>
      <c r="L94" s="12">
        <f>4+3</f>
        <v>7</v>
      </c>
      <c r="M94" s="12">
        <v>3</v>
      </c>
      <c r="N94" s="12">
        <v>4</v>
      </c>
      <c r="O94" s="12">
        <v>4</v>
      </c>
      <c r="P94" s="12">
        <v>3</v>
      </c>
      <c r="Q94" s="13">
        <f t="shared" si="46"/>
        <v>24</v>
      </c>
      <c r="R94" s="14"/>
      <c r="S94" s="14"/>
      <c r="T94" s="14"/>
      <c r="U94" s="14"/>
      <c r="V94" s="14"/>
      <c r="W94" s="14"/>
      <c r="X94" s="14"/>
      <c r="Y94" s="13">
        <f t="shared" si="44"/>
        <v>0</v>
      </c>
    </row>
    <row r="95" spans="2:26" ht="16" customHeight="1">
      <c r="C95" s="11" t="s">
        <v>137</v>
      </c>
      <c r="D95" s="12">
        <v>41</v>
      </c>
      <c r="E95" s="12">
        <v>33</v>
      </c>
      <c r="F95" s="12">
        <v>0</v>
      </c>
      <c r="G95" s="12">
        <v>8</v>
      </c>
      <c r="H95" s="12">
        <v>4</v>
      </c>
      <c r="I95" s="12">
        <v>4</v>
      </c>
      <c r="J95" s="13">
        <f t="shared" si="45"/>
        <v>90</v>
      </c>
      <c r="K95" s="12">
        <v>42</v>
      </c>
      <c r="L95" s="12">
        <v>49</v>
      </c>
      <c r="M95" s="12">
        <v>1</v>
      </c>
      <c r="N95" s="12">
        <v>11</v>
      </c>
      <c r="O95" s="12">
        <f>0+3</f>
        <v>3</v>
      </c>
      <c r="P95" s="12">
        <v>0</v>
      </c>
      <c r="Q95" s="13">
        <f t="shared" si="46"/>
        <v>106</v>
      </c>
      <c r="R95" s="14"/>
      <c r="S95" s="14"/>
      <c r="T95" s="14"/>
      <c r="U95" s="14"/>
      <c r="V95" s="14"/>
      <c r="W95" s="14"/>
      <c r="X95" s="14" t="s">
        <v>16</v>
      </c>
      <c r="Y95" s="13">
        <f t="shared" si="44"/>
        <v>0</v>
      </c>
    </row>
    <row r="96" spans="2:26" ht="16" customHeight="1">
      <c r="C96" s="11" t="s">
        <v>138</v>
      </c>
      <c r="D96" s="12">
        <v>30</v>
      </c>
      <c r="E96" s="12">
        <v>7</v>
      </c>
      <c r="F96" s="12">
        <v>5</v>
      </c>
      <c r="G96" s="12">
        <v>1</v>
      </c>
      <c r="H96" s="12">
        <v>21</v>
      </c>
      <c r="I96" s="12">
        <v>0</v>
      </c>
      <c r="J96" s="13">
        <f t="shared" si="45"/>
        <v>64</v>
      </c>
      <c r="K96" s="12">
        <v>19</v>
      </c>
      <c r="L96" s="12">
        <v>7</v>
      </c>
      <c r="M96" s="12">
        <v>2</v>
      </c>
      <c r="N96" s="12">
        <v>2</v>
      </c>
      <c r="O96" s="12">
        <f>2+6</f>
        <v>8</v>
      </c>
      <c r="P96" s="12">
        <v>6</v>
      </c>
      <c r="Q96" s="13">
        <f t="shared" si="46"/>
        <v>44</v>
      </c>
      <c r="R96" s="14">
        <v>83</v>
      </c>
      <c r="S96" s="14">
        <v>159</v>
      </c>
      <c r="T96" s="14">
        <v>22</v>
      </c>
      <c r="U96" s="14">
        <v>10</v>
      </c>
      <c r="V96" s="14">
        <v>11</v>
      </c>
      <c r="W96" s="14">
        <v>18</v>
      </c>
      <c r="X96" s="14">
        <v>3</v>
      </c>
      <c r="Y96" s="13">
        <f t="shared" si="44"/>
        <v>306</v>
      </c>
    </row>
    <row r="97" spans="2:26" ht="16" customHeight="1">
      <c r="C97" s="11" t="s">
        <v>139</v>
      </c>
      <c r="D97" s="12">
        <v>20</v>
      </c>
      <c r="E97" s="12">
        <v>10</v>
      </c>
      <c r="F97" s="12">
        <v>65</v>
      </c>
      <c r="G97" s="12">
        <v>7</v>
      </c>
      <c r="H97" s="12">
        <v>19</v>
      </c>
      <c r="I97" s="12">
        <v>1</v>
      </c>
      <c r="J97" s="13">
        <f t="shared" si="45"/>
        <v>122</v>
      </c>
      <c r="K97" s="12">
        <v>27</v>
      </c>
      <c r="L97" s="12">
        <v>17</v>
      </c>
      <c r="M97" s="12">
        <v>14</v>
      </c>
      <c r="N97" s="12">
        <v>14</v>
      </c>
      <c r="O97" s="12">
        <f>8+12</f>
        <v>20</v>
      </c>
      <c r="P97" s="12">
        <v>0</v>
      </c>
      <c r="Q97" s="13">
        <f t="shared" si="46"/>
        <v>92</v>
      </c>
      <c r="R97" s="14">
        <v>39</v>
      </c>
      <c r="S97" s="14">
        <v>8</v>
      </c>
      <c r="T97" s="14">
        <v>28</v>
      </c>
      <c r="U97" s="14">
        <v>13</v>
      </c>
      <c r="V97" s="14">
        <v>12</v>
      </c>
      <c r="W97" s="14">
        <v>4</v>
      </c>
      <c r="X97" s="14">
        <v>0</v>
      </c>
      <c r="Y97" s="13">
        <f t="shared" si="44"/>
        <v>104</v>
      </c>
    </row>
    <row r="98" spans="2:26" ht="16" customHeight="1">
      <c r="C98" s="11" t="s">
        <v>140</v>
      </c>
      <c r="D98" s="12"/>
      <c r="E98" s="12"/>
      <c r="F98" s="12"/>
      <c r="G98" s="12"/>
      <c r="H98" s="12"/>
      <c r="I98" s="12"/>
      <c r="J98" s="13">
        <f t="shared" si="45"/>
        <v>0</v>
      </c>
      <c r="K98" s="12">
        <v>0</v>
      </c>
      <c r="L98" s="12">
        <v>3</v>
      </c>
      <c r="M98" s="12">
        <v>0</v>
      </c>
      <c r="N98" s="12">
        <v>0</v>
      </c>
      <c r="O98" s="12">
        <v>0</v>
      </c>
      <c r="P98" s="12">
        <v>0</v>
      </c>
      <c r="Q98" s="13">
        <f t="shared" si="46"/>
        <v>3</v>
      </c>
      <c r="R98" s="14">
        <v>0</v>
      </c>
      <c r="S98" s="14">
        <v>0</v>
      </c>
      <c r="T98" s="14">
        <v>0</v>
      </c>
      <c r="U98" s="14">
        <v>0</v>
      </c>
      <c r="V98" s="14">
        <v>0</v>
      </c>
      <c r="W98" s="14">
        <v>0</v>
      </c>
      <c r="X98" s="14">
        <v>9</v>
      </c>
      <c r="Y98" s="13">
        <f t="shared" si="44"/>
        <v>9</v>
      </c>
    </row>
    <row r="99" spans="2:26" ht="17" customHeight="1" thickBot="1">
      <c r="B99" s="27"/>
      <c r="C99" s="28"/>
      <c r="D99" s="29"/>
      <c r="E99" s="29"/>
      <c r="F99" s="29"/>
      <c r="G99" s="30"/>
      <c r="H99" s="29"/>
      <c r="I99" s="29"/>
      <c r="J99" s="29"/>
      <c r="K99" s="29"/>
      <c r="L99" s="29"/>
      <c r="M99" s="29"/>
      <c r="N99" s="30"/>
      <c r="O99" s="29"/>
      <c r="P99" s="29"/>
      <c r="Q99" s="29"/>
      <c r="R99" s="29"/>
      <c r="S99" s="29"/>
      <c r="T99" s="29"/>
      <c r="U99" s="29"/>
      <c r="V99" s="29"/>
      <c r="W99" s="29"/>
      <c r="X99" s="29"/>
      <c r="Y99" s="29"/>
      <c r="Z99" s="22"/>
    </row>
    <row r="100" spans="2:26">
      <c r="B100" s="10" t="s">
        <v>141</v>
      </c>
      <c r="C100" s="11"/>
      <c r="J100" s="2"/>
      <c r="Q100" s="2"/>
      <c r="Y100" s="2"/>
    </row>
    <row r="101" spans="2:26" ht="16" customHeight="1">
      <c r="C101" s="11" t="s">
        <v>142</v>
      </c>
      <c r="D101" s="12">
        <v>54</v>
      </c>
      <c r="E101" s="12">
        <v>47</v>
      </c>
      <c r="F101" s="35">
        <f>13+5</f>
        <v>18</v>
      </c>
      <c r="G101" s="35">
        <f>3+4</f>
        <v>7</v>
      </c>
      <c r="H101" s="12">
        <v>34</v>
      </c>
      <c r="I101" s="12">
        <v>0</v>
      </c>
      <c r="J101" s="13">
        <f t="shared" ref="J101:J102" si="47">SUM(D101:I101)</f>
        <v>160</v>
      </c>
      <c r="K101" s="12">
        <v>80</v>
      </c>
      <c r="L101" s="12">
        <v>50</v>
      </c>
      <c r="M101" s="12">
        <v>7</v>
      </c>
      <c r="N101" s="12">
        <v>7</v>
      </c>
      <c r="O101" s="12">
        <f>18+12</f>
        <v>30</v>
      </c>
      <c r="P101" s="12">
        <f>2+9</f>
        <v>11</v>
      </c>
      <c r="Q101" s="13">
        <f t="shared" si="46"/>
        <v>185</v>
      </c>
      <c r="R101" s="14"/>
      <c r="S101" s="14"/>
      <c r="T101" s="14"/>
      <c r="U101" s="14" t="s">
        <v>18</v>
      </c>
      <c r="V101" s="14" t="s">
        <v>16</v>
      </c>
      <c r="W101" s="14" t="s">
        <v>16</v>
      </c>
      <c r="X101" s="14" t="s">
        <v>16</v>
      </c>
      <c r="Y101" s="13" t="s">
        <v>16</v>
      </c>
    </row>
    <row r="102" spans="2:26" ht="16" customHeight="1">
      <c r="B102" s="11"/>
      <c r="C102" s="11" t="s">
        <v>143</v>
      </c>
      <c r="D102" s="12">
        <v>13</v>
      </c>
      <c r="E102" s="12">
        <v>4</v>
      </c>
      <c r="F102" s="12">
        <v>4</v>
      </c>
      <c r="G102" s="35">
        <v>8</v>
      </c>
      <c r="H102" s="12">
        <v>4</v>
      </c>
      <c r="I102" s="12">
        <v>2</v>
      </c>
      <c r="J102" s="13">
        <f t="shared" si="47"/>
        <v>35</v>
      </c>
      <c r="K102" s="12">
        <v>18</v>
      </c>
      <c r="L102" s="12">
        <v>5</v>
      </c>
      <c r="M102" s="12">
        <v>5</v>
      </c>
      <c r="N102" s="12">
        <v>10</v>
      </c>
      <c r="O102" s="12">
        <f>2+2</f>
        <v>4</v>
      </c>
      <c r="P102" s="12">
        <f>1+1</f>
        <v>2</v>
      </c>
      <c r="Q102" s="13">
        <f t="shared" si="46"/>
        <v>44</v>
      </c>
      <c r="R102" s="14"/>
      <c r="S102" s="14"/>
      <c r="T102" s="14"/>
      <c r="U102" s="14" t="s">
        <v>18</v>
      </c>
      <c r="V102" s="14" t="s">
        <v>16</v>
      </c>
      <c r="W102" s="14" t="s">
        <v>16</v>
      </c>
      <c r="X102" s="14" t="s">
        <v>16</v>
      </c>
      <c r="Y102" s="13" t="s">
        <v>16</v>
      </c>
    </row>
    <row r="103" spans="2:26" s="15" customFormat="1" ht="42" customHeight="1">
      <c r="C103" s="16" t="s">
        <v>144</v>
      </c>
      <c r="D103" s="48">
        <f>SUM(D101:D102)</f>
        <v>67</v>
      </c>
      <c r="E103" s="48">
        <f t="shared" ref="E103:J103" si="48">SUM(E101:E102)</f>
        <v>51</v>
      </c>
      <c r="F103" s="48">
        <f t="shared" si="48"/>
        <v>22</v>
      </c>
      <c r="G103" s="48">
        <f t="shared" si="48"/>
        <v>15</v>
      </c>
      <c r="H103" s="18">
        <f t="shared" si="48"/>
        <v>38</v>
      </c>
      <c r="I103" s="18">
        <f t="shared" si="48"/>
        <v>2</v>
      </c>
      <c r="J103" s="19">
        <f t="shared" si="48"/>
        <v>195</v>
      </c>
      <c r="K103" s="18">
        <f>SUM(K101:K102)</f>
        <v>98</v>
      </c>
      <c r="L103" s="18">
        <f>SUM(L101:L102)</f>
        <v>55</v>
      </c>
      <c r="M103" s="18">
        <f>SUM(M101:M102)</f>
        <v>12</v>
      </c>
      <c r="N103" s="18">
        <f>SUM(N101:N102)</f>
        <v>17</v>
      </c>
      <c r="O103" s="18">
        <f t="shared" ref="O103:Q103" si="49">SUM(O101:O102)</f>
        <v>34</v>
      </c>
      <c r="P103" s="18">
        <f t="shared" si="49"/>
        <v>13</v>
      </c>
      <c r="Q103" s="19">
        <f t="shared" si="49"/>
        <v>229</v>
      </c>
      <c r="R103" s="20">
        <v>81</v>
      </c>
      <c r="S103" s="20">
        <v>56</v>
      </c>
      <c r="T103" s="20">
        <v>14</v>
      </c>
      <c r="U103" s="20" t="s">
        <v>18</v>
      </c>
      <c r="V103" s="20">
        <v>10</v>
      </c>
      <c r="W103" s="20">
        <v>20</v>
      </c>
      <c r="X103" s="20">
        <v>8</v>
      </c>
      <c r="Y103" s="19">
        <f t="shared" ref="Y103:Y110" si="50">SUM(R103:X103)</f>
        <v>189</v>
      </c>
    </row>
    <row r="104" spans="2:26" ht="16" customHeight="1">
      <c r="C104" s="11" t="s">
        <v>145</v>
      </c>
      <c r="D104" s="47">
        <v>22</v>
      </c>
      <c r="E104" s="47">
        <v>23</v>
      </c>
      <c r="F104" s="47">
        <v>6</v>
      </c>
      <c r="G104" s="47">
        <f>5</f>
        <v>5</v>
      </c>
      <c r="H104" s="47">
        <v>18</v>
      </c>
      <c r="I104" s="12">
        <v>2</v>
      </c>
      <c r="J104" s="13">
        <f t="shared" ref="J104:J110" si="51">SUM(D104:I104)</f>
        <v>76</v>
      </c>
      <c r="K104" s="12">
        <v>26</v>
      </c>
      <c r="L104" s="12">
        <v>12</v>
      </c>
      <c r="M104" s="12">
        <v>1</v>
      </c>
      <c r="N104" s="12"/>
      <c r="O104" s="12">
        <v>5</v>
      </c>
      <c r="P104" s="12">
        <v>1</v>
      </c>
      <c r="Q104" s="13">
        <f t="shared" ref="Q104:Q110" si="52">SUM(K104:P104)</f>
        <v>45</v>
      </c>
      <c r="R104" s="14"/>
      <c r="S104" s="14"/>
      <c r="T104" s="14"/>
      <c r="U104" s="14" t="s">
        <v>18</v>
      </c>
      <c r="V104" s="14"/>
      <c r="W104" s="14"/>
      <c r="X104" s="14"/>
      <c r="Y104" s="13">
        <f t="shared" si="50"/>
        <v>0</v>
      </c>
    </row>
    <row r="105" spans="2:26" ht="16" customHeight="1">
      <c r="C105" s="11" t="s">
        <v>146</v>
      </c>
      <c r="D105" s="47">
        <v>38</v>
      </c>
      <c r="E105" s="47">
        <v>24</v>
      </c>
      <c r="F105" s="47">
        <v>10</v>
      </c>
      <c r="G105" s="47">
        <f>5+2</f>
        <v>7</v>
      </c>
      <c r="H105" s="47">
        <v>16</v>
      </c>
      <c r="I105" s="12">
        <v>0</v>
      </c>
      <c r="J105" s="13">
        <f t="shared" si="51"/>
        <v>95</v>
      </c>
      <c r="K105" s="12">
        <f>40+28</f>
        <v>68</v>
      </c>
      <c r="L105" s="12">
        <f>27+11</f>
        <v>38</v>
      </c>
      <c r="M105" s="12">
        <f>10+1</f>
        <v>11</v>
      </c>
      <c r="N105" s="12">
        <f>6+10</f>
        <v>16</v>
      </c>
      <c r="O105" s="12">
        <f>3+6+14</f>
        <v>23</v>
      </c>
      <c r="P105" s="12">
        <v>6</v>
      </c>
      <c r="Q105" s="13">
        <f t="shared" si="52"/>
        <v>162</v>
      </c>
      <c r="R105" s="14"/>
      <c r="S105" s="14"/>
      <c r="T105" s="14"/>
      <c r="U105" s="14" t="s">
        <v>18</v>
      </c>
      <c r="V105" s="14"/>
      <c r="W105" s="14"/>
      <c r="X105" s="14"/>
      <c r="Y105" s="13">
        <f t="shared" si="50"/>
        <v>0</v>
      </c>
    </row>
    <row r="106" spans="2:26" ht="16" customHeight="1">
      <c r="C106" s="11" t="s">
        <v>147</v>
      </c>
      <c r="D106" s="47">
        <v>7</v>
      </c>
      <c r="E106" s="47">
        <v>4</v>
      </c>
      <c r="F106" s="47">
        <v>1</v>
      </c>
      <c r="G106" s="47">
        <f>1+2</f>
        <v>3</v>
      </c>
      <c r="H106" s="47">
        <v>4</v>
      </c>
      <c r="I106" s="12"/>
      <c r="J106" s="13">
        <f t="shared" si="51"/>
        <v>19</v>
      </c>
      <c r="K106" s="12">
        <v>4</v>
      </c>
      <c r="L106" s="12">
        <v>5</v>
      </c>
      <c r="M106" s="12"/>
      <c r="N106" s="12">
        <v>1</v>
      </c>
      <c r="O106" s="12">
        <v>6</v>
      </c>
      <c r="P106" s="12">
        <v>6</v>
      </c>
      <c r="Q106" s="13">
        <f t="shared" si="52"/>
        <v>22</v>
      </c>
      <c r="R106" s="14"/>
      <c r="S106" s="14"/>
      <c r="T106" s="14"/>
      <c r="U106" s="14" t="s">
        <v>18</v>
      </c>
      <c r="V106" s="14"/>
      <c r="W106" s="14"/>
      <c r="X106" s="14"/>
      <c r="Y106" s="13">
        <f t="shared" si="50"/>
        <v>0</v>
      </c>
    </row>
    <row r="107" spans="2:26" ht="16" customHeight="1">
      <c r="C107" s="11" t="s">
        <v>148</v>
      </c>
      <c r="D107" s="12">
        <v>22</v>
      </c>
      <c r="E107" s="12">
        <v>32</v>
      </c>
      <c r="F107" s="12">
        <v>2</v>
      </c>
      <c r="G107" s="12">
        <v>5</v>
      </c>
      <c r="H107" s="12">
        <v>3</v>
      </c>
      <c r="I107" s="12">
        <v>2</v>
      </c>
      <c r="J107" s="13">
        <f t="shared" si="51"/>
        <v>66</v>
      </c>
      <c r="K107" s="12">
        <v>46</v>
      </c>
      <c r="L107" s="12">
        <v>37</v>
      </c>
      <c r="M107" s="12">
        <v>2</v>
      </c>
      <c r="N107" s="12">
        <v>10</v>
      </c>
      <c r="O107" s="12">
        <f>0+3</f>
        <v>3</v>
      </c>
      <c r="P107" s="12">
        <v>0</v>
      </c>
      <c r="Q107" s="13">
        <f t="shared" si="52"/>
        <v>98</v>
      </c>
      <c r="R107" s="14"/>
      <c r="S107" s="14"/>
      <c r="T107" s="14"/>
      <c r="U107" s="14" t="s">
        <v>18</v>
      </c>
      <c r="V107" s="14" t="s">
        <v>16</v>
      </c>
      <c r="W107" s="14" t="s">
        <v>16</v>
      </c>
      <c r="X107" s="14" t="s">
        <v>16</v>
      </c>
      <c r="Y107" s="13">
        <f t="shared" si="50"/>
        <v>0</v>
      </c>
    </row>
    <row r="108" spans="2:26" ht="16" customHeight="1">
      <c r="C108" s="11" t="s">
        <v>149</v>
      </c>
      <c r="D108" s="12">
        <v>24</v>
      </c>
      <c r="E108" s="12">
        <v>3</v>
      </c>
      <c r="F108" s="12">
        <v>1</v>
      </c>
      <c r="G108" s="12">
        <v>1</v>
      </c>
      <c r="H108" s="12">
        <v>16</v>
      </c>
      <c r="I108" s="12">
        <v>0</v>
      </c>
      <c r="J108" s="13">
        <f t="shared" si="51"/>
        <v>45</v>
      </c>
      <c r="K108" s="12">
        <v>30</v>
      </c>
      <c r="L108" s="12">
        <v>5</v>
      </c>
      <c r="M108" s="12">
        <v>1</v>
      </c>
      <c r="N108" s="12">
        <v>0</v>
      </c>
      <c r="O108" s="12">
        <f>4+8</f>
        <v>12</v>
      </c>
      <c r="P108" s="12">
        <v>3</v>
      </c>
      <c r="Q108" s="13">
        <f t="shared" si="52"/>
        <v>51</v>
      </c>
      <c r="R108" s="14" t="s">
        <v>16</v>
      </c>
      <c r="S108" s="14" t="s">
        <v>16</v>
      </c>
      <c r="T108" s="14" t="s">
        <v>16</v>
      </c>
      <c r="U108" s="14" t="s">
        <v>18</v>
      </c>
      <c r="V108" s="14" t="s">
        <v>16</v>
      </c>
      <c r="W108" s="14" t="s">
        <v>16</v>
      </c>
      <c r="X108" s="14" t="s">
        <v>16</v>
      </c>
      <c r="Y108" s="13">
        <f t="shared" si="50"/>
        <v>0</v>
      </c>
    </row>
    <row r="109" spans="2:26" ht="16" customHeight="1">
      <c r="C109" s="11" t="s">
        <v>150</v>
      </c>
      <c r="D109" s="12">
        <v>21</v>
      </c>
      <c r="E109" s="12">
        <v>16</v>
      </c>
      <c r="F109" s="12">
        <v>14</v>
      </c>
      <c r="G109" s="12">
        <v>5</v>
      </c>
      <c r="H109" s="12">
        <v>19</v>
      </c>
      <c r="I109" s="12">
        <v>0</v>
      </c>
      <c r="J109" s="13">
        <f t="shared" si="51"/>
        <v>75</v>
      </c>
      <c r="K109" s="12">
        <v>20</v>
      </c>
      <c r="L109" s="12">
        <v>13</v>
      </c>
      <c r="M109" s="12">
        <v>9</v>
      </c>
      <c r="N109" s="12">
        <v>7</v>
      </c>
      <c r="O109" s="12">
        <f>16+3</f>
        <v>19</v>
      </c>
      <c r="P109" s="12">
        <v>0</v>
      </c>
      <c r="Q109" s="13">
        <f t="shared" si="52"/>
        <v>68</v>
      </c>
      <c r="R109" s="14">
        <v>81</v>
      </c>
      <c r="S109" s="14">
        <v>56</v>
      </c>
      <c r="T109" s="14">
        <v>14</v>
      </c>
      <c r="U109" s="14" t="s">
        <v>18</v>
      </c>
      <c r="V109" s="14">
        <v>10</v>
      </c>
      <c r="W109" s="14">
        <v>20</v>
      </c>
      <c r="X109" s="14">
        <v>4</v>
      </c>
      <c r="Y109" s="13">
        <f t="shared" si="50"/>
        <v>185</v>
      </c>
    </row>
    <row r="110" spans="2:26" ht="16" customHeight="1">
      <c r="C110" s="11" t="s">
        <v>151</v>
      </c>
      <c r="D110" s="12"/>
      <c r="E110" s="12"/>
      <c r="F110" s="12">
        <v>5</v>
      </c>
      <c r="G110" s="12">
        <v>4</v>
      </c>
      <c r="H110" s="12"/>
      <c r="I110" s="12">
        <v>0</v>
      </c>
      <c r="J110" s="13">
        <f t="shared" si="51"/>
        <v>9</v>
      </c>
      <c r="K110" s="12">
        <v>0</v>
      </c>
      <c r="L110" s="12">
        <v>0</v>
      </c>
      <c r="M110" s="12">
        <v>0</v>
      </c>
      <c r="N110" s="12">
        <v>0</v>
      </c>
      <c r="O110" s="12">
        <v>0</v>
      </c>
      <c r="P110" s="12">
        <v>10</v>
      </c>
      <c r="Q110" s="13">
        <f t="shared" si="52"/>
        <v>10</v>
      </c>
      <c r="R110" s="14">
        <v>0</v>
      </c>
      <c r="S110" s="14">
        <v>0</v>
      </c>
      <c r="T110" s="14"/>
      <c r="U110" s="14" t="s">
        <v>18</v>
      </c>
      <c r="V110" s="14">
        <v>0</v>
      </c>
      <c r="W110" s="14">
        <v>0</v>
      </c>
      <c r="X110" s="14">
        <v>4</v>
      </c>
      <c r="Y110" s="13">
        <f t="shared" si="50"/>
        <v>4</v>
      </c>
    </row>
    <row r="111" spans="2:26" s="15" customFormat="1" ht="17" customHeight="1">
      <c r="C111" s="16" t="s">
        <v>152</v>
      </c>
      <c r="D111" s="49">
        <f t="shared" ref="D111:T111" si="53">D103/D32</f>
        <v>0.122040072859745</v>
      </c>
      <c r="E111" s="49">
        <f t="shared" si="53"/>
        <v>0.10220440881763528</v>
      </c>
      <c r="F111" s="49">
        <f t="shared" si="53"/>
        <v>0.2857142857142857</v>
      </c>
      <c r="G111" s="50">
        <f t="shared" si="53"/>
        <v>0.189873417721519</v>
      </c>
      <c r="H111" s="49">
        <f t="shared" si="53"/>
        <v>0.46341463414634149</v>
      </c>
      <c r="I111" s="50">
        <f t="shared" si="53"/>
        <v>0.10526315789473684</v>
      </c>
      <c r="J111" s="51">
        <f t="shared" si="53"/>
        <v>0.14942528735632185</v>
      </c>
      <c r="K111" s="49">
        <f t="shared" si="53"/>
        <v>0.17785843920145192</v>
      </c>
      <c r="L111" s="49">
        <f t="shared" si="53"/>
        <v>0.11044176706827309</v>
      </c>
      <c r="M111" s="49">
        <f t="shared" si="53"/>
        <v>0.17142857142857143</v>
      </c>
      <c r="N111" s="50">
        <f t="shared" si="53"/>
        <v>0.20481927710843373</v>
      </c>
      <c r="O111" s="49">
        <f t="shared" si="53"/>
        <v>0.45333333333333331</v>
      </c>
      <c r="P111" s="50">
        <f t="shared" si="53"/>
        <v>0.39393939393939392</v>
      </c>
      <c r="Q111" s="51">
        <f t="shared" si="53"/>
        <v>0.17480916030534352</v>
      </c>
      <c r="R111" s="49">
        <f t="shared" si="53"/>
        <v>0.14972273567467653</v>
      </c>
      <c r="S111" s="49">
        <f t="shared" si="53"/>
        <v>0.13114754098360656</v>
      </c>
      <c r="T111" s="49">
        <f t="shared" si="53"/>
        <v>0.45161290322580644</v>
      </c>
      <c r="U111" s="52" t="s">
        <v>18</v>
      </c>
      <c r="V111" s="49">
        <f>V103/V32</f>
        <v>0.12987012987012986</v>
      </c>
      <c r="W111" s="49">
        <f>W103/W32</f>
        <v>0.36363636363636365</v>
      </c>
      <c r="X111" s="49">
        <f>X103/X32</f>
        <v>0.25806451612903225</v>
      </c>
      <c r="Y111" s="51">
        <f>Y103/(Y32-119)</f>
        <v>0.16265060240963855</v>
      </c>
    </row>
    <row r="112" spans="2:26" ht="17" customHeight="1" thickBot="1">
      <c r="B112" s="27"/>
      <c r="C112" s="28"/>
      <c r="D112" s="29"/>
      <c r="E112" s="29"/>
      <c r="F112" s="29"/>
      <c r="G112" s="30"/>
      <c r="H112" s="29"/>
      <c r="I112" s="29"/>
      <c r="J112" s="29"/>
      <c r="K112" s="29"/>
      <c r="L112" s="29"/>
      <c r="M112" s="29"/>
      <c r="N112" s="30"/>
      <c r="O112" s="29"/>
      <c r="P112" s="29"/>
      <c r="Q112" s="29"/>
      <c r="R112" s="29"/>
      <c r="S112" s="29"/>
      <c r="T112" s="29"/>
      <c r="U112" s="29"/>
      <c r="V112" s="29"/>
      <c r="W112" s="29"/>
      <c r="X112" s="29"/>
      <c r="Y112" s="29"/>
      <c r="Z112" s="22"/>
    </row>
    <row r="113" spans="2:26">
      <c r="B113" s="10" t="s">
        <v>153</v>
      </c>
      <c r="C113" s="11"/>
      <c r="J113" s="2"/>
      <c r="Q113" s="2"/>
      <c r="Y113" s="2"/>
    </row>
    <row r="114" spans="2:26" ht="16">
      <c r="C114" s="11" t="s">
        <v>154</v>
      </c>
      <c r="D114" s="12">
        <v>4124</v>
      </c>
      <c r="E114" s="12">
        <v>3731</v>
      </c>
      <c r="F114" s="12">
        <v>335</v>
      </c>
      <c r="G114" s="12">
        <v>221</v>
      </c>
      <c r="H114" s="12">
        <v>1214</v>
      </c>
      <c r="I114" s="142" t="s">
        <v>16</v>
      </c>
      <c r="J114" s="13">
        <f>SUM(D114:I114)</f>
        <v>9625</v>
      </c>
      <c r="K114" s="12">
        <v>5828</v>
      </c>
      <c r="L114" s="12">
        <v>3521</v>
      </c>
      <c r="M114" s="12">
        <f>370+9</f>
        <v>379</v>
      </c>
      <c r="N114" s="12">
        <v>0</v>
      </c>
      <c r="O114" s="12">
        <v>363</v>
      </c>
      <c r="P114" s="139" t="s">
        <v>16</v>
      </c>
      <c r="Q114" s="13">
        <f>SUM(K114:P114)</f>
        <v>10091</v>
      </c>
      <c r="R114" s="14">
        <v>5537</v>
      </c>
      <c r="S114" s="14">
        <v>1775</v>
      </c>
      <c r="T114" s="14">
        <v>419</v>
      </c>
      <c r="U114" s="14">
        <v>79</v>
      </c>
      <c r="V114" s="14" t="s">
        <v>16</v>
      </c>
      <c r="W114" s="14" t="s">
        <v>16</v>
      </c>
      <c r="X114" s="14" t="s">
        <v>16</v>
      </c>
      <c r="Y114" s="13">
        <f>SUM(R114:X114)</f>
        <v>7810</v>
      </c>
    </row>
    <row r="115" spans="2:26" s="15" customFormat="1" ht="16">
      <c r="B115" s="53"/>
      <c r="C115" s="16" t="s">
        <v>155</v>
      </c>
      <c r="D115" s="49">
        <f t="shared" ref="D115:Q115" si="54">D114/(D32*(23))</f>
        <v>0.32660172645917479</v>
      </c>
      <c r="E115" s="49">
        <f t="shared" si="54"/>
        <v>0.3250849525137231</v>
      </c>
      <c r="F115" s="49">
        <f t="shared" si="54"/>
        <v>0.18915866741953699</v>
      </c>
      <c r="G115" s="49">
        <f t="shared" si="54"/>
        <v>0.12162905888827738</v>
      </c>
      <c r="H115" s="49">
        <f t="shared" si="54"/>
        <v>0.64369034994697771</v>
      </c>
      <c r="I115" s="142"/>
      <c r="J115" s="51">
        <f t="shared" si="54"/>
        <v>0.3206729968349159</v>
      </c>
      <c r="K115" s="49">
        <f t="shared" si="54"/>
        <v>0.45987532549514715</v>
      </c>
      <c r="L115" s="49">
        <f t="shared" si="54"/>
        <v>0.30740352715208663</v>
      </c>
      <c r="M115" s="49">
        <f t="shared" si="54"/>
        <v>0.23540372670807452</v>
      </c>
      <c r="N115" s="49">
        <f t="shared" si="54"/>
        <v>0</v>
      </c>
      <c r="O115" s="49">
        <f t="shared" si="54"/>
        <v>0.21043478260869566</v>
      </c>
      <c r="P115" s="139"/>
      <c r="Q115" s="51">
        <f t="shared" si="54"/>
        <v>0.33491536674410888</v>
      </c>
      <c r="R115" s="54">
        <f>+R116*12</f>
        <v>0.39364424854258495</v>
      </c>
      <c r="S115" s="54">
        <f t="shared" ref="S115:Y115" si="55">+S116*12</f>
        <v>0.15988110250405332</v>
      </c>
      <c r="T115" s="54">
        <f t="shared" si="55"/>
        <v>0.51985111662531014</v>
      </c>
      <c r="U115" s="54">
        <f t="shared" si="55"/>
        <v>2.5533290239172592E-2</v>
      </c>
      <c r="V115" s="54" t="e">
        <f t="shared" si="55"/>
        <v>#VALUE!</v>
      </c>
      <c r="W115" s="54" t="e">
        <f t="shared" si="55"/>
        <v>#VALUE!</v>
      </c>
      <c r="X115" s="54" t="e">
        <f t="shared" si="55"/>
        <v>#VALUE!</v>
      </c>
      <c r="Y115" s="55">
        <f t="shared" si="55"/>
        <v>0.26868033576441447</v>
      </c>
    </row>
    <row r="116" spans="2:26" s="15" customFormat="1" ht="16" customHeight="1">
      <c r="C116" s="16" t="s">
        <v>156</v>
      </c>
      <c r="D116" s="49">
        <f t="shared" ref="D116:Q116" si="56">D115/12</f>
        <v>2.7216810538264566E-2</v>
      </c>
      <c r="E116" s="49">
        <f t="shared" si="56"/>
        <v>2.7090412709476926E-2</v>
      </c>
      <c r="F116" s="49">
        <f t="shared" si="56"/>
        <v>1.5763222284961416E-2</v>
      </c>
      <c r="G116" s="49">
        <f t="shared" si="56"/>
        <v>1.0135754907356449E-2</v>
      </c>
      <c r="H116" s="49">
        <f t="shared" si="56"/>
        <v>5.3640862495581476E-2</v>
      </c>
      <c r="I116" s="142"/>
      <c r="J116" s="51">
        <f t="shared" si="56"/>
        <v>2.6722749736242991E-2</v>
      </c>
      <c r="K116" s="49">
        <f t="shared" si="56"/>
        <v>3.8322943791262262E-2</v>
      </c>
      <c r="L116" s="49">
        <f t="shared" si="56"/>
        <v>2.561696059600722E-2</v>
      </c>
      <c r="M116" s="49">
        <f t="shared" si="56"/>
        <v>1.9616977225672877E-2</v>
      </c>
      <c r="N116" s="49">
        <f t="shared" si="56"/>
        <v>0</v>
      </c>
      <c r="O116" s="49">
        <f t="shared" si="56"/>
        <v>1.7536231884057972E-2</v>
      </c>
      <c r="P116" s="139"/>
      <c r="Q116" s="51">
        <f t="shared" si="56"/>
        <v>2.7909613895342408E-2</v>
      </c>
      <c r="R116" s="49">
        <f>R114/(R32*(26*12))</f>
        <v>3.2803687378548746E-2</v>
      </c>
      <c r="S116" s="49">
        <f>S114/(S32*(26*12))</f>
        <v>1.332342520867111E-2</v>
      </c>
      <c r="T116" s="49">
        <f>T114/(T32*(26*12))</f>
        <v>4.3320926385442514E-2</v>
      </c>
      <c r="U116" s="49">
        <f>U114/(U32*(26*12))</f>
        <v>2.1277741865977158E-3</v>
      </c>
      <c r="V116" s="49" t="e">
        <f t="shared" ref="V116:X116" si="57">V114/(V32*(26*12))</f>
        <v>#VALUE!</v>
      </c>
      <c r="W116" s="49" t="e">
        <f t="shared" si="57"/>
        <v>#VALUE!</v>
      </c>
      <c r="X116" s="49" t="e">
        <f t="shared" si="57"/>
        <v>#VALUE!</v>
      </c>
      <c r="Y116" s="51">
        <f>Y114/(1118*(26*12))</f>
        <v>2.2390027980367874E-2</v>
      </c>
    </row>
    <row r="117" spans="2:26" ht="17" customHeight="1" thickBot="1">
      <c r="B117" s="27"/>
      <c r="C117" s="28"/>
      <c r="D117" s="29"/>
      <c r="E117" s="29"/>
      <c r="F117" s="29"/>
      <c r="G117" s="30"/>
      <c r="H117" s="29"/>
      <c r="I117" s="29"/>
      <c r="J117" s="29"/>
      <c r="K117" s="29"/>
      <c r="L117" s="29"/>
      <c r="M117" s="29"/>
      <c r="N117" s="30"/>
      <c r="O117" s="29"/>
      <c r="P117" s="29"/>
      <c r="Q117" s="29"/>
      <c r="R117" s="29"/>
      <c r="S117" s="29"/>
      <c r="T117" s="29"/>
      <c r="U117" s="29"/>
      <c r="V117" s="29"/>
      <c r="W117" s="29"/>
      <c r="X117" s="29"/>
      <c r="Y117" s="29"/>
      <c r="Z117" s="22"/>
    </row>
    <row r="118" spans="2:26">
      <c r="B118" s="10" t="s">
        <v>157</v>
      </c>
      <c r="C118" s="11"/>
      <c r="J118" s="2"/>
      <c r="Q118" s="2"/>
      <c r="Y118" s="2"/>
    </row>
    <row r="119" spans="2:26">
      <c r="C119" s="56" t="s">
        <v>158</v>
      </c>
      <c r="D119" s="12">
        <f>12840+'[1]Seguridad y Salud'!D59+190.48</f>
        <v>22394.48</v>
      </c>
      <c r="E119" s="12">
        <f>5105+'[1]Seguridad y Salud'!E59+175.7</f>
        <v>22394.7</v>
      </c>
      <c r="F119" s="12">
        <f>3592+'[1]Seguridad y Salud'!F59+75.72</f>
        <v>4744.72</v>
      </c>
      <c r="G119" s="12">
        <f>1110+210.18</f>
        <v>1320.18</v>
      </c>
      <c r="H119" s="38">
        <f>20.88+38.4+765.5</f>
        <v>824.78</v>
      </c>
      <c r="I119" s="39" t="s">
        <v>16</v>
      </c>
      <c r="J119" s="13">
        <f>SUM(D119:I119)</f>
        <v>51678.86</v>
      </c>
      <c r="K119" s="12">
        <f>8828+2796+5772</f>
        <v>17396</v>
      </c>
      <c r="L119" s="12">
        <f>6260+11434</f>
        <v>17694</v>
      </c>
      <c r="M119" s="12">
        <f>3266+734</f>
        <v>4000</v>
      </c>
      <c r="N119" s="12">
        <v>1958</v>
      </c>
      <c r="O119" s="39" t="s">
        <v>17</v>
      </c>
      <c r="P119" s="39" t="s">
        <v>17</v>
      </c>
      <c r="Q119" s="13">
        <f>SUM(K119:P119)</f>
        <v>41048</v>
      </c>
      <c r="R119" s="14">
        <v>31312</v>
      </c>
      <c r="S119" s="14">
        <v>15440</v>
      </c>
      <c r="T119" s="14">
        <v>258</v>
      </c>
      <c r="U119" s="14">
        <v>6281</v>
      </c>
      <c r="V119" s="14"/>
      <c r="W119" s="14"/>
      <c r="X119" s="14"/>
      <c r="Y119" s="13">
        <f>SUM(R119:X119)</f>
        <v>53291</v>
      </c>
    </row>
    <row r="120" spans="2:26">
      <c r="C120" s="56" t="s">
        <v>159</v>
      </c>
      <c r="D120" s="12">
        <f>958+'[1]Seguridad y Salud'!D60+96.3</f>
        <v>2436.3000000000002</v>
      </c>
      <c r="E120" s="12">
        <f>1576+'[1]Seguridad y Salud'!E60+33.48</f>
        <v>2403.48</v>
      </c>
      <c r="F120" s="12">
        <f>767+'[1]Seguridad y Salud'!F60+16.65</f>
        <v>1005.65</v>
      </c>
      <c r="G120" s="12">
        <f>946+204.19</f>
        <v>1150.19</v>
      </c>
      <c r="H120" s="38">
        <f>0.5+43.75+177.5</f>
        <v>221.75</v>
      </c>
      <c r="I120" s="39" t="s">
        <v>16</v>
      </c>
      <c r="J120" s="13">
        <f>SUM(D120:I120)</f>
        <v>7217.3700000000008</v>
      </c>
      <c r="K120" s="12">
        <f>163+698+1019</f>
        <v>1880</v>
      </c>
      <c r="L120" s="12">
        <f>2569+198</f>
        <v>2767</v>
      </c>
      <c r="M120" s="12">
        <f>1093+474</f>
        <v>1567</v>
      </c>
      <c r="N120" s="12">
        <v>1705</v>
      </c>
      <c r="O120" s="39" t="s">
        <v>17</v>
      </c>
      <c r="P120" s="39" t="s">
        <v>17</v>
      </c>
      <c r="Q120" s="13">
        <f>SUM(K120:P120)</f>
        <v>7919</v>
      </c>
      <c r="R120" s="14">
        <v>3614</v>
      </c>
      <c r="S120" s="14">
        <v>837</v>
      </c>
      <c r="T120" s="14">
        <v>186</v>
      </c>
      <c r="U120" s="14">
        <v>394</v>
      </c>
      <c r="V120" s="14"/>
      <c r="W120" s="14"/>
      <c r="X120" s="14"/>
      <c r="Y120" s="13">
        <f>SUM(R120:X120)</f>
        <v>5031</v>
      </c>
    </row>
    <row r="121" spans="2:26" s="15" customFormat="1" ht="16" customHeight="1">
      <c r="C121" s="57" t="s">
        <v>160</v>
      </c>
      <c r="D121" s="18">
        <f>SUM(D119:D120)</f>
        <v>24830.78</v>
      </c>
      <c r="E121" s="18">
        <f t="shared" ref="E121:F121" si="58">SUM(E119:E120)</f>
        <v>24798.18</v>
      </c>
      <c r="F121" s="18">
        <f t="shared" si="58"/>
        <v>5750.37</v>
      </c>
      <c r="G121" s="18">
        <f>SUM(G119:G120)</f>
        <v>2470.37</v>
      </c>
      <c r="H121" s="20">
        <f>SUM(H119:H120)</f>
        <v>1046.53</v>
      </c>
      <c r="I121" s="39" t="s">
        <v>16</v>
      </c>
      <c r="J121" s="19">
        <f t="shared" ref="J121" si="59">SUM(J119:J120)</f>
        <v>58896.23</v>
      </c>
      <c r="K121" s="18">
        <f>SUM(K119:K120)</f>
        <v>19276</v>
      </c>
      <c r="L121" s="18">
        <f t="shared" ref="L121:M121" si="60">SUM(L119:L120)</f>
        <v>20461</v>
      </c>
      <c r="M121" s="18">
        <f t="shared" si="60"/>
        <v>5567</v>
      </c>
      <c r="N121" s="18">
        <f>SUM(N119:N120)</f>
        <v>3663</v>
      </c>
      <c r="O121" s="18">
        <v>1048</v>
      </c>
      <c r="P121" s="58">
        <f t="shared" ref="P121:T121" si="61">SUM(P119:P120)</f>
        <v>0</v>
      </c>
      <c r="Q121" s="19">
        <f t="shared" si="61"/>
        <v>48967</v>
      </c>
      <c r="R121" s="20">
        <f t="shared" si="61"/>
        <v>34926</v>
      </c>
      <c r="S121" s="20">
        <f t="shared" si="61"/>
        <v>16277</v>
      </c>
      <c r="T121" s="20">
        <f t="shared" si="61"/>
        <v>444</v>
      </c>
      <c r="U121" s="20">
        <f>SUM(U119:U120)</f>
        <v>6675</v>
      </c>
      <c r="V121" s="20">
        <f t="shared" ref="V121:Y121" si="62">SUM(V119:V120)</f>
        <v>0</v>
      </c>
      <c r="W121" s="20">
        <f t="shared" si="62"/>
        <v>0</v>
      </c>
      <c r="X121" s="20">
        <f t="shared" si="62"/>
        <v>0</v>
      </c>
      <c r="Y121" s="19">
        <f t="shared" si="62"/>
        <v>58322</v>
      </c>
    </row>
    <row r="122" spans="2:26" ht="16" customHeight="1">
      <c r="C122" s="56" t="s">
        <v>161</v>
      </c>
      <c r="D122" s="12">
        <f>10368+'[1]Seguridad y Salud'!D62</f>
        <v>16789</v>
      </c>
      <c r="E122" s="12">
        <f>2308+'[1]Seguridad y Salud'!E62</f>
        <v>18722</v>
      </c>
      <c r="F122" s="12">
        <f>1268+'[1]Seguridad y Salud'!F62</f>
        <v>1855</v>
      </c>
      <c r="G122" s="12">
        <v>0</v>
      </c>
      <c r="H122" s="38">
        <v>775</v>
      </c>
      <c r="I122" s="39" t="s">
        <v>16</v>
      </c>
      <c r="J122" s="13">
        <f>SUM(D122:I122)</f>
        <v>38141</v>
      </c>
      <c r="K122" s="12">
        <f>8828+163</f>
        <v>8991</v>
      </c>
      <c r="L122" s="12">
        <f>2333+11100</f>
        <v>13433</v>
      </c>
      <c r="M122" s="12">
        <f>687+448</f>
        <v>1135</v>
      </c>
      <c r="N122" s="12">
        <v>0</v>
      </c>
      <c r="O122" s="39" t="s">
        <v>17</v>
      </c>
      <c r="P122" s="39" t="s">
        <v>17</v>
      </c>
      <c r="Q122" s="13">
        <f>SUM(K122:P122)</f>
        <v>23559</v>
      </c>
      <c r="R122" s="14">
        <v>25488</v>
      </c>
      <c r="S122" s="14">
        <v>12328</v>
      </c>
      <c r="T122" s="14">
        <v>157</v>
      </c>
      <c r="U122" s="14">
        <v>5084</v>
      </c>
      <c r="V122" s="14">
        <f>SUM(V120:V121)</f>
        <v>0</v>
      </c>
      <c r="W122" s="14"/>
      <c r="X122" s="14">
        <f>SUM(X120:X121)</f>
        <v>0</v>
      </c>
      <c r="Y122" s="13">
        <f>SUM(R122:X122)</f>
        <v>43057</v>
      </c>
    </row>
    <row r="123" spans="2:26">
      <c r="C123" s="56" t="s">
        <v>162</v>
      </c>
      <c r="D123" s="12">
        <f>3430+'[1]Seguridad y Salud'!D63+286.81</f>
        <v>8041.81</v>
      </c>
      <c r="E123" s="12">
        <f>4373+'[1]Seguridad y Salud'!E63+209.18</f>
        <v>6076.18</v>
      </c>
      <c r="F123" s="12">
        <f>3091+'[1]Seguridad y Salud'!F63+92.3</f>
        <v>3895.3</v>
      </c>
      <c r="G123" s="12">
        <f>2056+414.3</f>
        <v>2470.3000000000002</v>
      </c>
      <c r="H123" s="38">
        <f>82.15+21.6+168</f>
        <v>271.75</v>
      </c>
      <c r="I123" s="39" t="s">
        <v>16</v>
      </c>
      <c r="J123" s="13">
        <f>SUM(D123:I123)</f>
        <v>20755.34</v>
      </c>
      <c r="K123" s="12">
        <f>2796+698</f>
        <v>3494</v>
      </c>
      <c r="L123" s="12">
        <f>6496+532</f>
        <v>7028</v>
      </c>
      <c r="M123" s="12">
        <f>3672+760</f>
        <v>4432</v>
      </c>
      <c r="N123" s="12">
        <f>N121</f>
        <v>3663</v>
      </c>
      <c r="O123" s="39" t="s">
        <v>17</v>
      </c>
      <c r="P123" s="39" t="s">
        <v>17</v>
      </c>
      <c r="Q123" s="13">
        <f>SUM(K123:P123)</f>
        <v>18617</v>
      </c>
      <c r="R123" s="14">
        <v>9438</v>
      </c>
      <c r="S123" s="14">
        <v>3949</v>
      </c>
      <c r="T123" s="14">
        <v>287</v>
      </c>
      <c r="U123" s="14">
        <v>1591</v>
      </c>
      <c r="V123" s="14">
        <f>SUM(V121:V122)</f>
        <v>0</v>
      </c>
      <c r="W123" s="14"/>
      <c r="X123" s="14">
        <f>SUM(X121:X122)</f>
        <v>0</v>
      </c>
      <c r="Y123" s="13">
        <f>SUM(R123:X123)</f>
        <v>15265</v>
      </c>
    </row>
    <row r="124" spans="2:26" ht="16" customHeight="1">
      <c r="C124" s="11" t="s">
        <v>163</v>
      </c>
      <c r="D124" s="12">
        <f t="shared" ref="D124:J126" si="63">D119/D30</f>
        <v>48.472900432900431</v>
      </c>
      <c r="E124" s="12">
        <f t="shared" si="63"/>
        <v>48.368682505399569</v>
      </c>
      <c r="F124" s="12">
        <f t="shared" si="63"/>
        <v>79.078666666666678</v>
      </c>
      <c r="G124" s="12">
        <f t="shared" si="63"/>
        <v>28.088936170212769</v>
      </c>
      <c r="H124" s="38" t="s">
        <v>17</v>
      </c>
      <c r="I124" s="39" t="s">
        <v>16</v>
      </c>
      <c r="J124" s="13">
        <f t="shared" ref="J124:V126" si="64">J119/J30</f>
        <v>46.683703703703706</v>
      </c>
      <c r="K124" s="12">
        <f t="shared" si="64"/>
        <v>37.17094017094017</v>
      </c>
      <c r="L124" s="12">
        <f t="shared" si="64"/>
        <v>38.46521739130435</v>
      </c>
      <c r="M124" s="12">
        <f t="shared" si="64"/>
        <v>78.431372549019613</v>
      </c>
      <c r="N124" s="12">
        <f t="shared" si="64"/>
        <v>39.159999999999997</v>
      </c>
      <c r="O124" s="39" t="s">
        <v>17</v>
      </c>
      <c r="P124" s="39" t="s">
        <v>17</v>
      </c>
      <c r="Q124" s="13">
        <f t="shared" ref="Q124:Y125" si="65">Q119/Q30</f>
        <v>36.847396768402156</v>
      </c>
      <c r="R124" s="14">
        <f t="shared" si="65"/>
        <v>67.049250535331907</v>
      </c>
      <c r="S124" s="14">
        <f t="shared" si="65"/>
        <v>39.18781725888325</v>
      </c>
      <c r="T124" s="14">
        <f t="shared" si="65"/>
        <v>11.727272727272727</v>
      </c>
      <c r="U124" s="14">
        <f t="shared" si="65"/>
        <v>57.623853211009177</v>
      </c>
      <c r="V124" s="14" t="e">
        <f t="shared" si="65"/>
        <v>#VALUE!</v>
      </c>
      <c r="W124" s="14" t="e">
        <f t="shared" si="65"/>
        <v>#VALUE!</v>
      </c>
      <c r="X124" s="14" t="e">
        <f t="shared" si="65"/>
        <v>#VALUE!</v>
      </c>
      <c r="Y124" s="31">
        <f t="shared" si="65"/>
        <v>53.720766129032256</v>
      </c>
    </row>
    <row r="125" spans="2:26" ht="16" customHeight="1">
      <c r="C125" s="11" t="s">
        <v>164</v>
      </c>
      <c r="D125" s="12">
        <f t="shared" si="63"/>
        <v>28.00344827586207</v>
      </c>
      <c r="E125" s="12">
        <f t="shared" si="63"/>
        <v>66.763333333333335</v>
      </c>
      <c r="F125" s="12">
        <f t="shared" si="63"/>
        <v>59.155882352941177</v>
      </c>
      <c r="G125" s="12">
        <f t="shared" si="63"/>
        <v>35.943437500000002</v>
      </c>
      <c r="H125" s="39" t="s">
        <v>17</v>
      </c>
      <c r="I125" s="39" t="s">
        <v>16</v>
      </c>
      <c r="J125" s="13">
        <f t="shared" si="64"/>
        <v>36.451363636363638</v>
      </c>
      <c r="K125" s="12">
        <f t="shared" si="64"/>
        <v>22.650602409638555</v>
      </c>
      <c r="L125" s="12">
        <f t="shared" si="64"/>
        <v>72.815789473684205</v>
      </c>
      <c r="M125" s="12">
        <f t="shared" si="64"/>
        <v>82.473684210526315</v>
      </c>
      <c r="N125" s="12">
        <f t="shared" si="64"/>
        <v>51.666666666666664</v>
      </c>
      <c r="O125" s="39" t="s">
        <v>17</v>
      </c>
      <c r="P125" s="39" t="s">
        <v>17</v>
      </c>
      <c r="Q125" s="13">
        <f t="shared" si="65"/>
        <v>40.403061224489797</v>
      </c>
      <c r="R125" s="14">
        <f t="shared" si="65"/>
        <v>48.837837837837839</v>
      </c>
      <c r="S125" s="14">
        <f t="shared" si="65"/>
        <v>25.363636363636363</v>
      </c>
      <c r="T125" s="14">
        <f t="shared" si="65"/>
        <v>20.666666666666668</v>
      </c>
      <c r="U125" s="14">
        <f t="shared" si="65"/>
        <v>39.4</v>
      </c>
      <c r="V125" s="14" t="e">
        <f t="shared" si="65"/>
        <v>#VALUE!</v>
      </c>
      <c r="W125" s="14" t="e">
        <f t="shared" si="65"/>
        <v>#VALUE!</v>
      </c>
      <c r="X125" s="14" t="e">
        <f t="shared" si="65"/>
        <v>#VALUE!</v>
      </c>
      <c r="Y125" s="31">
        <f t="shared" si="65"/>
        <v>39.928571428571431</v>
      </c>
    </row>
    <row r="126" spans="2:26" ht="16">
      <c r="C126" s="11" t="s">
        <v>165</v>
      </c>
      <c r="D126" s="12">
        <f t="shared" si="63"/>
        <v>45.229107468123857</v>
      </c>
      <c r="E126" s="12">
        <f t="shared" si="63"/>
        <v>49.695751503006015</v>
      </c>
      <c r="F126" s="12">
        <f t="shared" si="63"/>
        <v>74.680129870129875</v>
      </c>
      <c r="G126" s="12">
        <f t="shared" si="63"/>
        <v>31.270506329113921</v>
      </c>
      <c r="H126" s="12">
        <f t="shared" si="63"/>
        <v>12.762560975609755</v>
      </c>
      <c r="I126" s="39" t="s">
        <v>16</v>
      </c>
      <c r="J126" s="13">
        <f t="shared" si="63"/>
        <v>45.131210727969354</v>
      </c>
      <c r="K126" s="12">
        <f t="shared" si="64"/>
        <v>34.983666061705989</v>
      </c>
      <c r="L126" s="12">
        <f t="shared" si="64"/>
        <v>41.086345381526101</v>
      </c>
      <c r="M126" s="12">
        <f t="shared" si="64"/>
        <v>79.528571428571425</v>
      </c>
      <c r="N126" s="12">
        <f t="shared" si="64"/>
        <v>44.132530120481931</v>
      </c>
      <c r="O126" s="12">
        <f t="shared" si="64"/>
        <v>13.973333333333333</v>
      </c>
      <c r="P126" s="12">
        <f t="shared" si="64"/>
        <v>0</v>
      </c>
      <c r="Q126" s="13">
        <f t="shared" si="64"/>
        <v>37.379389312977096</v>
      </c>
      <c r="R126" s="14">
        <f t="shared" si="64"/>
        <v>64.558225508317932</v>
      </c>
      <c r="S126" s="14">
        <f t="shared" si="64"/>
        <v>38.119437939110071</v>
      </c>
      <c r="T126" s="14">
        <f t="shared" si="64"/>
        <v>14.32258064516129</v>
      </c>
      <c r="U126" s="14">
        <f t="shared" si="64"/>
        <v>56.092436974789919</v>
      </c>
      <c r="V126" s="14">
        <f t="shared" si="64"/>
        <v>0</v>
      </c>
      <c r="W126" s="14"/>
      <c r="X126" s="14">
        <f>X121/X32</f>
        <v>0</v>
      </c>
      <c r="Y126" s="31">
        <f>Y121/Y32</f>
        <v>45.52849336455894</v>
      </c>
    </row>
    <row r="127" spans="2:26" s="15" customFormat="1" ht="16" customHeight="1">
      <c r="B127" s="26" t="s">
        <v>166</v>
      </c>
      <c r="C127" s="16"/>
      <c r="D127" s="49"/>
      <c r="E127" s="49"/>
      <c r="F127" s="49"/>
      <c r="G127" s="49"/>
      <c r="H127" s="49"/>
      <c r="I127" s="49"/>
      <c r="J127" s="51"/>
      <c r="K127" s="49"/>
      <c r="L127" s="49"/>
      <c r="M127" s="49"/>
      <c r="N127" s="49"/>
      <c r="O127" s="49"/>
      <c r="P127" s="49"/>
      <c r="Q127" s="51"/>
      <c r="R127" s="49"/>
      <c r="S127" s="49"/>
      <c r="T127" s="49"/>
      <c r="U127" s="49"/>
      <c r="V127" s="49"/>
      <c r="W127" s="49"/>
      <c r="X127" s="49"/>
      <c r="Y127" s="51"/>
    </row>
    <row r="128" spans="2:26" ht="17" customHeight="1" thickBot="1">
      <c r="B128" s="27"/>
      <c r="C128" s="28"/>
      <c r="D128" s="29"/>
      <c r="E128" s="29"/>
      <c r="F128" s="29"/>
      <c r="G128" s="30"/>
      <c r="H128" s="29"/>
      <c r="I128" s="29"/>
      <c r="J128" s="59"/>
      <c r="K128" s="29"/>
      <c r="L128" s="29"/>
      <c r="M128" s="29"/>
      <c r="N128" s="30"/>
      <c r="O128" s="29"/>
      <c r="P128" s="29"/>
      <c r="Q128" s="29"/>
      <c r="R128" s="29"/>
      <c r="S128" s="29"/>
      <c r="T128" s="29"/>
      <c r="U128" s="29"/>
      <c r="V128" s="29"/>
      <c r="W128" s="29"/>
      <c r="X128" s="29"/>
      <c r="Y128" s="29"/>
      <c r="Z128" s="22"/>
    </row>
    <row r="129" spans="2:26">
      <c r="B129" s="10" t="s">
        <v>167</v>
      </c>
      <c r="C129" s="11"/>
      <c r="H129" s="60"/>
      <c r="J129" s="2"/>
      <c r="Q129" s="2"/>
      <c r="Y129" s="2"/>
    </row>
    <row r="130" spans="2:26" ht="17" customHeight="1">
      <c r="C130" s="56" t="s">
        <v>168</v>
      </c>
      <c r="D130" s="12">
        <f>918+'[1]Seguridad y Salud'!D70</f>
        <v>3389</v>
      </c>
      <c r="E130" s="12">
        <f>133+'[1]Seguridad y Salud'!E70</f>
        <v>2682</v>
      </c>
      <c r="F130" s="12">
        <f>2895+'[1]Seguridad y Salud'!F70</f>
        <v>4184</v>
      </c>
      <c r="G130" s="139" t="s">
        <v>17</v>
      </c>
      <c r="H130" s="139"/>
      <c r="I130" s="139"/>
      <c r="J130" s="13">
        <f>SUM(D130:I130)</f>
        <v>10255</v>
      </c>
      <c r="K130" s="12">
        <f>1496+3270</f>
        <v>4766</v>
      </c>
      <c r="L130" s="12">
        <f>336+1893</f>
        <v>2229</v>
      </c>
      <c r="M130" s="12">
        <f>352+434</f>
        <v>786</v>
      </c>
      <c r="N130" s="139" t="s">
        <v>17</v>
      </c>
      <c r="O130" s="139"/>
      <c r="P130" s="139"/>
      <c r="Q130" s="13">
        <f>SUM(K130:P130)</f>
        <v>7781</v>
      </c>
      <c r="R130" s="14">
        <v>15270</v>
      </c>
      <c r="S130" s="14">
        <v>4570</v>
      </c>
      <c r="T130" s="14">
        <v>101</v>
      </c>
      <c r="U130" s="14">
        <v>588</v>
      </c>
      <c r="V130" s="14"/>
      <c r="W130" s="14"/>
      <c r="X130" s="14"/>
      <c r="Y130" s="13">
        <f>SUM(R130:X130)</f>
        <v>20529</v>
      </c>
    </row>
    <row r="131" spans="2:26" ht="17" customHeight="1">
      <c r="C131" s="56" t="s">
        <v>169</v>
      </c>
      <c r="D131" s="12">
        <f>43+'[1]Seguridad y Salud'!D71</f>
        <v>629</v>
      </c>
      <c r="E131" s="12">
        <f>29+'[1]Seguridad y Salud'!E71</f>
        <v>298</v>
      </c>
      <c r="F131" s="12">
        <f>137+'[1]Seguridad y Salud'!F71</f>
        <v>268</v>
      </c>
      <c r="G131" s="139"/>
      <c r="H131" s="139"/>
      <c r="I131" s="139"/>
      <c r="J131" s="13">
        <f>SUM(D131:I131)</f>
        <v>1195</v>
      </c>
      <c r="K131" s="12">
        <f>8+96</f>
        <v>104</v>
      </c>
      <c r="L131" s="12">
        <f>55+20</f>
        <v>75</v>
      </c>
      <c r="M131" s="12">
        <f>34+38</f>
        <v>72</v>
      </c>
      <c r="N131" s="139"/>
      <c r="O131" s="139"/>
      <c r="P131" s="139"/>
      <c r="Q131" s="13">
        <f>SUM(K131:P131)</f>
        <v>251</v>
      </c>
      <c r="R131" s="14">
        <v>905</v>
      </c>
      <c r="S131" s="14">
        <v>27</v>
      </c>
      <c r="T131" s="14">
        <v>0</v>
      </c>
      <c r="U131" s="14">
        <v>22</v>
      </c>
      <c r="V131" s="14"/>
      <c r="W131" s="14"/>
      <c r="X131" s="14"/>
      <c r="Y131" s="13">
        <f>SUM(R131:X131)</f>
        <v>954</v>
      </c>
    </row>
    <row r="132" spans="2:26" s="15" customFormat="1" ht="16" customHeight="1">
      <c r="C132" s="57" t="s">
        <v>170</v>
      </c>
      <c r="D132" s="18">
        <f t="shared" ref="D132:E132" si="66">SUM(D130:D131)</f>
        <v>4018</v>
      </c>
      <c r="E132" s="18">
        <f t="shared" si="66"/>
        <v>2980</v>
      </c>
      <c r="F132" s="18">
        <f>SUM(F130:F131)</f>
        <v>4452</v>
      </c>
      <c r="G132" s="139"/>
      <c r="H132" s="139"/>
      <c r="I132" s="139"/>
      <c r="J132" s="19">
        <f t="shared" ref="J132:L132" si="67">SUM(J130:J131)</f>
        <v>11450</v>
      </c>
      <c r="K132" s="18">
        <f t="shared" si="67"/>
        <v>4870</v>
      </c>
      <c r="L132" s="18">
        <f t="shared" si="67"/>
        <v>2304</v>
      </c>
      <c r="M132" s="18">
        <f>SUM(M130:M131)</f>
        <v>858</v>
      </c>
      <c r="N132" s="139"/>
      <c r="O132" s="139"/>
      <c r="P132" s="139"/>
      <c r="Q132" s="19">
        <f t="shared" ref="Q132:T132" si="68">SUM(Q130:Q131)</f>
        <v>8032</v>
      </c>
      <c r="R132" s="20">
        <f t="shared" si="68"/>
        <v>16175</v>
      </c>
      <c r="S132" s="20">
        <f t="shared" si="68"/>
        <v>4597</v>
      </c>
      <c r="T132" s="20">
        <f t="shared" si="68"/>
        <v>101</v>
      </c>
      <c r="U132" s="20">
        <f>SUM(U130:U131)</f>
        <v>610</v>
      </c>
      <c r="V132" s="20">
        <f t="shared" ref="V132:Y132" si="69">SUM(V130:V131)</f>
        <v>0</v>
      </c>
      <c r="W132" s="20">
        <f t="shared" si="69"/>
        <v>0</v>
      </c>
      <c r="X132" s="20">
        <f t="shared" si="69"/>
        <v>0</v>
      </c>
      <c r="Y132" s="19">
        <f t="shared" si="69"/>
        <v>21483</v>
      </c>
    </row>
    <row r="133" spans="2:26" ht="16" customHeight="1">
      <c r="C133" s="11" t="s">
        <v>171</v>
      </c>
      <c r="D133" s="12">
        <f t="shared" ref="D133:F135" si="70">D130/D35</f>
        <v>10.207831325301205</v>
      </c>
      <c r="E133" s="12">
        <f t="shared" si="70"/>
        <v>16.555555555555557</v>
      </c>
      <c r="F133" s="12">
        <f t="shared" si="70"/>
        <v>13.673202614379084</v>
      </c>
      <c r="G133" s="139"/>
      <c r="H133" s="139"/>
      <c r="I133" s="139"/>
      <c r="J133" s="13">
        <f t="shared" ref="J133:M135" si="71">J130/J35</f>
        <v>12.164887307236061</v>
      </c>
      <c r="K133" s="12">
        <f t="shared" si="71"/>
        <v>15.524429967426711</v>
      </c>
      <c r="L133" s="12">
        <f t="shared" si="71"/>
        <v>14.95973154362416</v>
      </c>
      <c r="M133" s="12">
        <f t="shared" si="71"/>
        <v>8.5434782608695645</v>
      </c>
      <c r="N133" s="139"/>
      <c r="O133" s="139"/>
      <c r="P133" s="139"/>
      <c r="Q133" s="13">
        <f t="shared" ref="Q133:Y135" si="72">Q130/Q35</f>
        <v>14.198905109489051</v>
      </c>
      <c r="R133" s="14">
        <f t="shared" si="72"/>
        <v>39.869451697127936</v>
      </c>
      <c r="S133" s="14">
        <f t="shared" si="72"/>
        <v>21.971153846153847</v>
      </c>
      <c r="T133" s="14">
        <f t="shared" si="72"/>
        <v>1.8363636363636364</v>
      </c>
      <c r="U133" s="14">
        <f t="shared" si="72"/>
        <v>17.818181818181817</v>
      </c>
      <c r="V133" s="14" t="e">
        <f t="shared" si="72"/>
        <v>#DIV/0!</v>
      </c>
      <c r="W133" s="14" t="e">
        <f t="shared" si="72"/>
        <v>#DIV/0!</v>
      </c>
      <c r="X133" s="14" t="e">
        <f t="shared" si="72"/>
        <v>#DIV/0!</v>
      </c>
      <c r="Y133" s="31">
        <f t="shared" si="72"/>
        <v>30.234167893961708</v>
      </c>
    </row>
    <row r="134" spans="2:26" ht="17" customHeight="1">
      <c r="C134" s="11" t="s">
        <v>172</v>
      </c>
      <c r="D134" s="12">
        <f t="shared" si="70"/>
        <v>28.59090909090909</v>
      </c>
      <c r="E134" s="12">
        <f t="shared" si="70"/>
        <v>29.8</v>
      </c>
      <c r="F134" s="12">
        <f t="shared" si="70"/>
        <v>9.2413793103448274</v>
      </c>
      <c r="G134" s="139"/>
      <c r="H134" s="139"/>
      <c r="I134" s="139"/>
      <c r="J134" s="13">
        <f t="shared" si="71"/>
        <v>12.447916666666666</v>
      </c>
      <c r="K134" s="12">
        <f t="shared" si="71"/>
        <v>5.2</v>
      </c>
      <c r="L134" s="12">
        <f t="shared" si="71"/>
        <v>12.5</v>
      </c>
      <c r="M134" s="12">
        <f t="shared" si="71"/>
        <v>7.2</v>
      </c>
      <c r="N134" s="139"/>
      <c r="O134" s="139"/>
      <c r="P134" s="139"/>
      <c r="Q134" s="13">
        <f t="shared" si="72"/>
        <v>6.9722222222222223</v>
      </c>
      <c r="R134" s="14">
        <f t="shared" si="72"/>
        <v>47.631578947368418</v>
      </c>
      <c r="S134" s="14">
        <f t="shared" si="72"/>
        <v>9</v>
      </c>
      <c r="T134" s="14" t="e">
        <f t="shared" si="72"/>
        <v>#DIV/0!</v>
      </c>
      <c r="U134" s="14" t="e">
        <f t="shared" si="72"/>
        <v>#DIV/0!</v>
      </c>
      <c r="V134" s="14" t="e">
        <f t="shared" si="72"/>
        <v>#DIV/0!</v>
      </c>
      <c r="W134" s="14" t="e">
        <f t="shared" si="72"/>
        <v>#DIV/0!</v>
      </c>
      <c r="X134" s="14" t="e">
        <f t="shared" si="72"/>
        <v>#DIV/0!</v>
      </c>
      <c r="Y134" s="31">
        <f t="shared" si="72"/>
        <v>43.363636363636367</v>
      </c>
    </row>
    <row r="135" spans="2:26" ht="16" customHeight="1">
      <c r="C135" s="11" t="s">
        <v>173</v>
      </c>
      <c r="D135" s="12">
        <f t="shared" si="70"/>
        <v>11.350282485875706</v>
      </c>
      <c r="E135" s="12">
        <f t="shared" si="70"/>
        <v>17.325581395348838</v>
      </c>
      <c r="F135" s="12">
        <f t="shared" si="70"/>
        <v>13.289552238805971</v>
      </c>
      <c r="G135" s="139"/>
      <c r="H135" s="139"/>
      <c r="I135" s="139"/>
      <c r="J135" s="13">
        <f t="shared" si="71"/>
        <v>12.193823216187434</v>
      </c>
      <c r="K135" s="12">
        <f t="shared" si="71"/>
        <v>14.892966360856269</v>
      </c>
      <c r="L135" s="12">
        <f t="shared" si="71"/>
        <v>14.864516129032259</v>
      </c>
      <c r="M135" s="12">
        <f t="shared" si="71"/>
        <v>8.4117647058823533</v>
      </c>
      <c r="N135" s="139"/>
      <c r="O135" s="139"/>
      <c r="P135" s="139"/>
      <c r="Q135" s="13">
        <f t="shared" si="72"/>
        <v>13.753424657534246</v>
      </c>
      <c r="R135" s="14">
        <f t="shared" si="72"/>
        <v>40.236318407960198</v>
      </c>
      <c r="S135" s="14">
        <f t="shared" si="72"/>
        <v>21.786729857819907</v>
      </c>
      <c r="T135" s="14">
        <f t="shared" si="72"/>
        <v>1.8363636363636364</v>
      </c>
      <c r="U135" s="14">
        <f t="shared" si="72"/>
        <v>18.484848484848484</v>
      </c>
      <c r="V135" s="14" t="e">
        <f t="shared" si="72"/>
        <v>#DIV/0!</v>
      </c>
      <c r="W135" s="14" t="e">
        <f t="shared" si="72"/>
        <v>#DIV/0!</v>
      </c>
      <c r="X135" s="14" t="e">
        <f t="shared" si="72"/>
        <v>#DIV/0!</v>
      </c>
      <c r="Y135" s="13">
        <f t="shared" si="72"/>
        <v>30.646219686162624</v>
      </c>
    </row>
    <row r="136" spans="2:26" s="15" customFormat="1" ht="16" customHeight="1">
      <c r="B136" s="26" t="s">
        <v>174</v>
      </c>
      <c r="C136" s="16"/>
      <c r="D136" s="49"/>
      <c r="E136" s="49"/>
      <c r="F136" s="49"/>
      <c r="G136" s="49"/>
      <c r="H136" s="49"/>
      <c r="I136" s="49"/>
      <c r="J136" s="51"/>
      <c r="K136" s="49"/>
      <c r="L136" s="49"/>
      <c r="M136" s="49"/>
      <c r="N136" s="49"/>
      <c r="O136" s="49"/>
      <c r="P136" s="49"/>
      <c r="Q136" s="51"/>
      <c r="R136" s="49"/>
      <c r="S136" s="49"/>
      <c r="T136" s="49"/>
      <c r="U136" s="49"/>
      <c r="V136" s="49"/>
      <c r="W136" s="49"/>
      <c r="X136" s="49"/>
      <c r="Y136" s="51"/>
    </row>
    <row r="137" spans="2:26" ht="17" customHeight="1" thickBot="1">
      <c r="B137" s="27"/>
      <c r="C137" s="28"/>
      <c r="D137" s="29"/>
      <c r="E137" s="29"/>
      <c r="F137" s="29"/>
      <c r="G137" s="30"/>
      <c r="H137" s="29"/>
      <c r="I137" s="29"/>
      <c r="J137" s="59"/>
      <c r="K137" s="29"/>
      <c r="L137" s="29"/>
      <c r="M137" s="29"/>
      <c r="N137" s="30"/>
      <c r="O137" s="29"/>
      <c r="P137" s="29"/>
      <c r="Q137" s="29"/>
      <c r="R137" s="29"/>
      <c r="S137" s="29"/>
      <c r="T137" s="29"/>
      <c r="U137" s="29"/>
      <c r="V137" s="29"/>
      <c r="W137" s="29"/>
      <c r="X137" s="29"/>
      <c r="Y137" s="29"/>
      <c r="Z137" s="22"/>
    </row>
    <row r="138" spans="2:26">
      <c r="B138" s="10" t="s">
        <v>175</v>
      </c>
      <c r="C138" s="11"/>
      <c r="J138" s="2"/>
      <c r="Q138" s="2"/>
      <c r="Y138" s="2"/>
    </row>
    <row r="139" spans="2:26" ht="14" customHeight="1">
      <c r="C139" s="16" t="s">
        <v>176</v>
      </c>
      <c r="D139" s="12">
        <f>D132+D121</f>
        <v>28848.78</v>
      </c>
      <c r="E139" s="12">
        <f>E132+E121</f>
        <v>27778.18</v>
      </c>
      <c r="F139" s="12">
        <f>F132+F121</f>
        <v>10202.369999999999</v>
      </c>
      <c r="G139" s="12">
        <f>G132+G121</f>
        <v>2470.37</v>
      </c>
      <c r="H139" s="12">
        <f>H132+H121</f>
        <v>1046.53</v>
      </c>
      <c r="I139" s="39" t="s">
        <v>17</v>
      </c>
      <c r="J139" s="13">
        <f t="shared" ref="J139" si="73">J132+J121</f>
        <v>70346.23000000001</v>
      </c>
      <c r="K139" s="12">
        <f>K132+K121</f>
        <v>24146</v>
      </c>
      <c r="L139" s="12">
        <f>L132+L121</f>
        <v>22765</v>
      </c>
      <c r="M139" s="12">
        <f>M132+M121</f>
        <v>6425</v>
      </c>
      <c r="N139" s="12">
        <f>N132+N121</f>
        <v>3663</v>
      </c>
      <c r="O139" s="12">
        <f>O132+O121</f>
        <v>1048</v>
      </c>
      <c r="P139" s="39" t="s">
        <v>17</v>
      </c>
      <c r="Q139" s="13">
        <f t="shared" ref="Q139:Y139" si="74">Q132+Q121</f>
        <v>56999</v>
      </c>
      <c r="R139" s="14">
        <f t="shared" si="74"/>
        <v>51101</v>
      </c>
      <c r="S139" s="14">
        <f t="shared" si="74"/>
        <v>20874</v>
      </c>
      <c r="T139" s="14">
        <f t="shared" si="74"/>
        <v>545</v>
      </c>
      <c r="U139" s="14">
        <f t="shared" si="74"/>
        <v>7285</v>
      </c>
      <c r="V139" s="14">
        <f t="shared" si="74"/>
        <v>0</v>
      </c>
      <c r="W139" s="14">
        <f t="shared" si="74"/>
        <v>0</v>
      </c>
      <c r="X139" s="14">
        <f t="shared" si="74"/>
        <v>0</v>
      </c>
      <c r="Y139" s="13">
        <f t="shared" si="74"/>
        <v>79805</v>
      </c>
      <c r="Z139" s="21"/>
    </row>
    <row r="140" spans="2:26" ht="17" customHeight="1">
      <c r="C140" s="61" t="s">
        <v>177</v>
      </c>
      <c r="D140" s="12">
        <f t="shared" ref="D140:F142" si="75">(D130+D119)/(D30+D35)</f>
        <v>32.472896725440805</v>
      </c>
      <c r="E140" s="12">
        <f t="shared" si="75"/>
        <v>40.122720000000001</v>
      </c>
      <c r="F140" s="12">
        <f t="shared" si="75"/>
        <v>24.395409836065578</v>
      </c>
      <c r="G140" s="12">
        <f t="shared" ref="G140:H142" si="76">(G119)/(G30+G35)</f>
        <v>14.668666666666667</v>
      </c>
      <c r="H140" s="12">
        <f t="shared" si="76"/>
        <v>12.496666666666666</v>
      </c>
      <c r="I140" s="39" t="s">
        <v>17</v>
      </c>
      <c r="J140" s="13">
        <f t="shared" ref="J140:M142" si="77">(J130+J119)/(J30+J35)</f>
        <v>31.760953846153846</v>
      </c>
      <c r="K140" s="12">
        <f t="shared" si="77"/>
        <v>28.596129032258066</v>
      </c>
      <c r="L140" s="12">
        <f t="shared" si="77"/>
        <v>32.714285714285715</v>
      </c>
      <c r="M140" s="12">
        <f t="shared" si="77"/>
        <v>33.468531468531467</v>
      </c>
      <c r="N140" s="12">
        <f>(N119)/(N30+N35)</f>
        <v>39.159999999999997</v>
      </c>
      <c r="O140" s="39" t="s">
        <v>17</v>
      </c>
      <c r="P140" s="39" t="s">
        <v>17</v>
      </c>
      <c r="Q140" s="13">
        <f t="shared" ref="Q140:Y142" si="78">(Q130+Q119)/(Q30+Q35)</f>
        <v>29.379663056558364</v>
      </c>
      <c r="R140" s="14">
        <f t="shared" si="78"/>
        <v>54.802352941176473</v>
      </c>
      <c r="S140" s="14">
        <f t="shared" si="78"/>
        <v>33.239202657807311</v>
      </c>
      <c r="T140" s="14">
        <f t="shared" si="78"/>
        <v>4.662337662337662</v>
      </c>
      <c r="U140" s="14">
        <f t="shared" si="78"/>
        <v>48.37323943661972</v>
      </c>
      <c r="V140" s="14" t="e">
        <f t="shared" si="78"/>
        <v>#VALUE!</v>
      </c>
      <c r="W140" s="14" t="e">
        <f t="shared" si="78"/>
        <v>#VALUE!</v>
      </c>
      <c r="X140" s="14" t="e">
        <f t="shared" si="78"/>
        <v>#VALUE!</v>
      </c>
      <c r="Y140" s="31">
        <f t="shared" si="78"/>
        <v>44.1771394374626</v>
      </c>
    </row>
    <row r="141" spans="2:26">
      <c r="C141" s="61" t="s">
        <v>178</v>
      </c>
      <c r="D141" s="12">
        <f t="shared" si="75"/>
        <v>28.122018348623854</v>
      </c>
      <c r="E141" s="12">
        <f t="shared" si="75"/>
        <v>58.727826086956519</v>
      </c>
      <c r="F141" s="12">
        <f t="shared" si="75"/>
        <v>27.688043478260873</v>
      </c>
      <c r="G141" s="12">
        <f t="shared" si="76"/>
        <v>17.167014925373135</v>
      </c>
      <c r="H141" s="12">
        <f t="shared" si="76"/>
        <v>13.859375</v>
      </c>
      <c r="I141" s="39" t="s">
        <v>17</v>
      </c>
      <c r="J141" s="13">
        <f t="shared" si="77"/>
        <v>28.613503401360546</v>
      </c>
      <c r="K141" s="12">
        <f t="shared" si="77"/>
        <v>19.262135922330096</v>
      </c>
      <c r="L141" s="12">
        <f t="shared" si="77"/>
        <v>64.590909090909093</v>
      </c>
      <c r="M141" s="12">
        <f t="shared" si="77"/>
        <v>56.517241379310342</v>
      </c>
      <c r="N141" s="12">
        <f>(N120)/(N31+N36)</f>
        <v>51.666666666666664</v>
      </c>
      <c r="O141" s="39" t="s">
        <v>17</v>
      </c>
      <c r="P141" s="39" t="s">
        <v>17</v>
      </c>
      <c r="Q141" s="13">
        <f t="shared" si="78"/>
        <v>35.21551724137931</v>
      </c>
      <c r="R141" s="14">
        <f t="shared" si="78"/>
        <v>48.591397849462368</v>
      </c>
      <c r="S141" s="14">
        <f t="shared" si="78"/>
        <v>24</v>
      </c>
      <c r="T141" s="14">
        <f t="shared" si="78"/>
        <v>20.666666666666668</v>
      </c>
      <c r="U141" s="14">
        <f t="shared" si="78"/>
        <v>41.6</v>
      </c>
      <c r="V141" s="14" t="e">
        <f t="shared" si="78"/>
        <v>#VALUE!</v>
      </c>
      <c r="W141" s="14" t="e">
        <f t="shared" si="78"/>
        <v>#VALUE!</v>
      </c>
      <c r="X141" s="14" t="e">
        <f t="shared" si="78"/>
        <v>#VALUE!</v>
      </c>
      <c r="Y141" s="31">
        <f t="shared" si="78"/>
        <v>40.439189189189186</v>
      </c>
    </row>
    <row r="142" spans="2:26" ht="17" customHeight="1">
      <c r="C142" s="61" t="s">
        <v>179</v>
      </c>
      <c r="D142" s="12">
        <f t="shared" si="75"/>
        <v>31.947707641196011</v>
      </c>
      <c r="E142" s="12">
        <f t="shared" si="75"/>
        <v>41.398181818181818</v>
      </c>
      <c r="F142" s="12">
        <f t="shared" si="75"/>
        <v>24.76303398058252</v>
      </c>
      <c r="G142" s="12">
        <f t="shared" si="76"/>
        <v>15.73484076433121</v>
      </c>
      <c r="H142" s="12">
        <f t="shared" si="76"/>
        <v>12.762560975609755</v>
      </c>
      <c r="I142" s="39" t="s">
        <v>17</v>
      </c>
      <c r="J142" s="13">
        <f t="shared" si="77"/>
        <v>31.348587344028527</v>
      </c>
      <c r="K142" s="12">
        <f t="shared" si="77"/>
        <v>27.501138952164009</v>
      </c>
      <c r="L142" s="12">
        <f t="shared" si="77"/>
        <v>34.862174578866771</v>
      </c>
      <c r="M142" s="12">
        <f t="shared" si="77"/>
        <v>37.354651162790695</v>
      </c>
      <c r="N142" s="12">
        <f>(N121)/(N32+N37)</f>
        <v>44.132530120481931</v>
      </c>
      <c r="O142" s="12">
        <f>(O121)/(O32+O37)</f>
        <v>13.973333333333333</v>
      </c>
      <c r="P142" s="39" t="s">
        <v>17</v>
      </c>
      <c r="Q142" s="13">
        <f t="shared" si="78"/>
        <v>30.094508975712777</v>
      </c>
      <c r="R142" s="14">
        <f t="shared" si="78"/>
        <v>54.189819724284199</v>
      </c>
      <c r="S142" s="14">
        <f t="shared" si="78"/>
        <v>32.717868338557992</v>
      </c>
      <c r="T142" s="14">
        <f t="shared" si="78"/>
        <v>6.3372093023255811</v>
      </c>
      <c r="U142" s="14">
        <f t="shared" si="78"/>
        <v>47.92763157894737</v>
      </c>
      <c r="V142" s="14">
        <f t="shared" si="78"/>
        <v>0</v>
      </c>
      <c r="W142" s="14">
        <f t="shared" si="78"/>
        <v>0</v>
      </c>
      <c r="X142" s="14">
        <f t="shared" si="78"/>
        <v>0</v>
      </c>
      <c r="Y142" s="31">
        <f t="shared" si="78"/>
        <v>40.264883955600403</v>
      </c>
      <c r="Z142" s="21"/>
    </row>
    <row r="143" spans="2:26" ht="17" customHeight="1" thickBot="1">
      <c r="B143" s="27"/>
      <c r="C143" s="28"/>
      <c r="D143" s="59">
        <f>+D132+D121</f>
        <v>28848.78</v>
      </c>
      <c r="E143" s="59">
        <f>+E132+E121</f>
        <v>27778.18</v>
      </c>
      <c r="F143" s="59">
        <f>+F132+F121</f>
        <v>10202.369999999999</v>
      </c>
      <c r="G143" s="59">
        <f>+G132+G121</f>
        <v>2470.37</v>
      </c>
      <c r="H143" s="29"/>
      <c r="I143" s="29"/>
      <c r="J143" s="29"/>
      <c r="K143" s="29"/>
      <c r="L143" s="29"/>
      <c r="M143" s="29"/>
      <c r="N143" s="30"/>
      <c r="O143" s="29"/>
      <c r="P143" s="29"/>
      <c r="Q143" s="29"/>
      <c r="R143" s="29"/>
      <c r="S143" s="29"/>
      <c r="T143" s="29"/>
      <c r="U143" s="29"/>
      <c r="V143" s="29"/>
      <c r="W143" s="29"/>
      <c r="X143" s="29"/>
      <c r="Y143" s="29"/>
      <c r="Z143" s="22"/>
    </row>
    <row r="144" spans="2:26">
      <c r="B144" s="10" t="s">
        <v>180</v>
      </c>
      <c r="C144" s="11"/>
      <c r="J144" s="2"/>
      <c r="Q144" s="2"/>
      <c r="Y144" s="2"/>
    </row>
    <row r="145" spans="2:26" ht="15" customHeight="1">
      <c r="C145" s="56" t="s">
        <v>181</v>
      </c>
      <c r="D145" s="12">
        <f>'[1]Seguridad y Salud'!D79</f>
        <v>13803</v>
      </c>
      <c r="E145" s="12">
        <f>'[1]Seguridad y Salud'!E79</f>
        <v>20726</v>
      </c>
      <c r="F145" s="12">
        <f>'[1]Seguridad y Salud'!F79</f>
        <v>2719</v>
      </c>
      <c r="G145" s="39" t="s">
        <v>16</v>
      </c>
      <c r="H145" s="12">
        <v>943</v>
      </c>
      <c r="I145" s="39" t="s">
        <v>17</v>
      </c>
      <c r="J145" s="13">
        <f>SUM(D145:I145)</f>
        <v>38191</v>
      </c>
      <c r="K145" s="12">
        <f>10157</f>
        <v>10157</v>
      </c>
      <c r="L145" s="12">
        <v>13545</v>
      </c>
      <c r="M145" s="12">
        <v>1680</v>
      </c>
      <c r="N145" s="12">
        <v>138</v>
      </c>
      <c r="O145" s="12">
        <v>1048</v>
      </c>
      <c r="P145" s="39" t="s">
        <v>17</v>
      </c>
      <c r="Q145" s="13">
        <f>SUM(K145:P145)</f>
        <v>26568</v>
      </c>
      <c r="R145" s="14">
        <v>35451</v>
      </c>
      <c r="S145" s="14">
        <v>11237</v>
      </c>
      <c r="T145" s="14">
        <v>404</v>
      </c>
      <c r="U145" s="14">
        <v>7285</v>
      </c>
      <c r="V145" s="14"/>
      <c r="W145" s="14"/>
      <c r="X145" s="14"/>
      <c r="Y145" s="13">
        <v>54376</v>
      </c>
    </row>
    <row r="146" spans="2:26" ht="15" customHeight="1">
      <c r="C146" s="195" t="s">
        <v>182</v>
      </c>
      <c r="D146" s="12">
        <f>961+13610</f>
        <v>14571</v>
      </c>
      <c r="E146" s="12">
        <v>6215</v>
      </c>
      <c r="F146" s="12">
        <f>2050+3032</f>
        <v>5082</v>
      </c>
      <c r="G146" s="12">
        <v>220</v>
      </c>
      <c r="H146" s="12"/>
      <c r="I146" s="39" t="s">
        <v>17</v>
      </c>
      <c r="J146" s="13">
        <f>SUM(D146:I146)</f>
        <v>26088</v>
      </c>
      <c r="K146" s="12">
        <v>10910</v>
      </c>
      <c r="L146" s="12">
        <v>6518</v>
      </c>
      <c r="M146" s="12">
        <f>1777+386</f>
        <v>2163</v>
      </c>
      <c r="N146" s="12">
        <v>1025</v>
      </c>
      <c r="O146" s="12">
        <v>0</v>
      </c>
      <c r="P146" s="39" t="s">
        <v>17</v>
      </c>
      <c r="Q146" s="13">
        <f>SUM(K146:P146)</f>
        <v>20616</v>
      </c>
      <c r="R146" s="14">
        <f>11836+32</f>
        <v>11868</v>
      </c>
      <c r="S146" s="14">
        <v>6724</v>
      </c>
      <c r="T146" s="14">
        <v>0</v>
      </c>
      <c r="U146" s="14">
        <v>0</v>
      </c>
      <c r="V146" s="14"/>
      <c r="W146" s="14"/>
      <c r="X146" s="14"/>
      <c r="Y146" s="13">
        <v>18592</v>
      </c>
    </row>
    <row r="147" spans="2:26" ht="15" customHeight="1">
      <c r="C147" s="56" t="s">
        <v>183</v>
      </c>
      <c r="D147" s="12">
        <f>188+287</f>
        <v>475</v>
      </c>
      <c r="E147" s="12">
        <f>627+210</f>
        <v>837</v>
      </c>
      <c r="F147" s="12">
        <f>2309+92</f>
        <v>2401</v>
      </c>
      <c r="G147" s="12">
        <f>1836+414</f>
        <v>2250</v>
      </c>
      <c r="H147" s="12">
        <f>82+22</f>
        <v>104</v>
      </c>
      <c r="I147" s="39" t="s">
        <v>17</v>
      </c>
      <c r="J147" s="13">
        <f>SUM(D147:I147)</f>
        <v>6067</v>
      </c>
      <c r="K147" s="12">
        <v>2567</v>
      </c>
      <c r="L147" s="12">
        <v>2702</v>
      </c>
      <c r="M147" s="12">
        <v>2582</v>
      </c>
      <c r="N147" s="12">
        <v>2638</v>
      </c>
      <c r="O147" s="12">
        <v>0</v>
      </c>
      <c r="P147" s="39" t="s">
        <v>17</v>
      </c>
      <c r="Q147" s="13">
        <f>SUM(K147:P147)</f>
        <v>10489</v>
      </c>
      <c r="R147" s="14">
        <v>3782</v>
      </c>
      <c r="S147" s="14">
        <v>2913</v>
      </c>
      <c r="T147" s="14">
        <v>141</v>
      </c>
      <c r="U147" s="14">
        <v>0</v>
      </c>
      <c r="V147" s="14"/>
      <c r="W147" s="14"/>
      <c r="X147" s="14"/>
      <c r="Y147" s="13">
        <v>6837</v>
      </c>
    </row>
    <row r="148" spans="2:26" s="15" customFormat="1" ht="17" customHeight="1">
      <c r="C148" s="15" t="s">
        <v>184</v>
      </c>
      <c r="D148" s="20">
        <f t="shared" ref="D148:H148" si="79">SUM(D145:D147)</f>
        <v>28849</v>
      </c>
      <c r="E148" s="20">
        <f t="shared" si="79"/>
        <v>27778</v>
      </c>
      <c r="F148" s="20">
        <f>SUM(F145:F147)</f>
        <v>10202</v>
      </c>
      <c r="G148" s="20">
        <f t="shared" si="79"/>
        <v>2470</v>
      </c>
      <c r="H148" s="20">
        <f t="shared" si="79"/>
        <v>1047</v>
      </c>
      <c r="I148" s="38" t="s">
        <v>17</v>
      </c>
      <c r="J148" s="19">
        <f t="shared" ref="J148:Y148" si="80">SUM(J145:J147)</f>
        <v>70346</v>
      </c>
      <c r="K148" s="18">
        <f t="shared" si="80"/>
        <v>23634</v>
      </c>
      <c r="L148" s="18">
        <f t="shared" si="80"/>
        <v>22765</v>
      </c>
      <c r="M148" s="18">
        <f t="shared" si="80"/>
        <v>6425</v>
      </c>
      <c r="N148" s="18">
        <f t="shared" si="80"/>
        <v>3801</v>
      </c>
      <c r="O148" s="18">
        <f t="shared" si="80"/>
        <v>1048</v>
      </c>
      <c r="P148" s="39" t="s">
        <v>17</v>
      </c>
      <c r="Q148" s="19">
        <f t="shared" si="80"/>
        <v>57673</v>
      </c>
      <c r="R148" s="20">
        <f t="shared" si="80"/>
        <v>51101</v>
      </c>
      <c r="S148" s="20">
        <f t="shared" si="80"/>
        <v>20874</v>
      </c>
      <c r="T148" s="20">
        <f t="shared" si="80"/>
        <v>545</v>
      </c>
      <c r="U148" s="20">
        <f t="shared" si="80"/>
        <v>7285</v>
      </c>
      <c r="V148" s="20">
        <f t="shared" si="80"/>
        <v>0</v>
      </c>
      <c r="W148" s="20">
        <f t="shared" si="80"/>
        <v>0</v>
      </c>
      <c r="X148" s="20">
        <f t="shared" si="80"/>
        <v>0</v>
      </c>
      <c r="Y148" s="19">
        <f t="shared" si="80"/>
        <v>79805</v>
      </c>
      <c r="Z148" s="21"/>
    </row>
    <row r="149" spans="2:26" ht="17" customHeight="1" thickBot="1">
      <c r="B149" s="27"/>
      <c r="C149" s="28"/>
      <c r="D149" s="29"/>
      <c r="E149" s="29"/>
      <c r="F149" s="29"/>
      <c r="G149" s="30"/>
      <c r="H149" s="29"/>
      <c r="I149" s="62"/>
      <c r="J149" s="63">
        <f>+J148/J26</f>
        <v>30.191416309012876</v>
      </c>
      <c r="K149" s="29"/>
      <c r="L149" s="29"/>
      <c r="M149" s="29"/>
      <c r="N149" s="30"/>
      <c r="O149" s="29"/>
      <c r="P149" s="62"/>
      <c r="Q149" s="29"/>
      <c r="R149" s="29"/>
      <c r="S149" s="29"/>
      <c r="T149" s="29"/>
      <c r="U149" s="29"/>
      <c r="V149" s="29"/>
      <c r="W149" s="29"/>
      <c r="X149" s="29"/>
      <c r="Y149" s="29"/>
      <c r="Z149" s="22"/>
    </row>
    <row r="150" spans="2:26">
      <c r="B150" s="10" t="s">
        <v>185</v>
      </c>
      <c r="C150" s="11"/>
      <c r="I150" s="64"/>
      <c r="J150" s="2"/>
      <c r="P150" s="64"/>
      <c r="Q150" s="2"/>
      <c r="Y150" s="2"/>
    </row>
    <row r="151" spans="2:26" ht="17" customHeight="1">
      <c r="C151" s="56" t="s">
        <v>186</v>
      </c>
      <c r="D151" s="12">
        <v>2905</v>
      </c>
      <c r="E151" s="12">
        <v>1764</v>
      </c>
      <c r="F151" s="12">
        <v>5808</v>
      </c>
      <c r="G151" s="12">
        <v>0</v>
      </c>
      <c r="H151" s="12">
        <v>60</v>
      </c>
      <c r="I151" s="39" t="s">
        <v>17</v>
      </c>
      <c r="J151" s="13">
        <f>SUM(D151:I151)</f>
        <v>10537</v>
      </c>
      <c r="K151" s="12">
        <v>16134</v>
      </c>
      <c r="L151" s="12">
        <v>4644</v>
      </c>
      <c r="M151" s="12">
        <v>2647</v>
      </c>
      <c r="N151" s="12">
        <v>0</v>
      </c>
      <c r="O151" s="12">
        <v>0</v>
      </c>
      <c r="P151" s="39" t="s">
        <v>17</v>
      </c>
      <c r="Q151" s="13">
        <f>SUM(K151:P151)</f>
        <v>23425</v>
      </c>
      <c r="R151" s="14">
        <f>30956-R132</f>
        <v>14781</v>
      </c>
      <c r="S151" s="14">
        <f>11813-S132</f>
        <v>7216</v>
      </c>
      <c r="T151" s="14">
        <v>1323</v>
      </c>
      <c r="U151" s="14">
        <f>31107-(R153+S153+T153)</f>
        <v>1951</v>
      </c>
      <c r="V151" s="14"/>
      <c r="W151" s="14"/>
      <c r="X151" s="14"/>
      <c r="Y151" s="65" t="s">
        <v>16</v>
      </c>
    </row>
    <row r="152" spans="2:26" ht="17" customHeight="1">
      <c r="C152" s="56" t="s">
        <v>187</v>
      </c>
      <c r="D152" s="12">
        <v>465</v>
      </c>
      <c r="E152" s="12">
        <v>220</v>
      </c>
      <c r="F152" s="12">
        <v>930</v>
      </c>
      <c r="G152" s="12">
        <v>136</v>
      </c>
      <c r="H152" s="12">
        <f>286+62</f>
        <v>348</v>
      </c>
      <c r="I152" s="39" t="s">
        <v>17</v>
      </c>
      <c r="J152" s="13">
        <f>SUM(D152:I152)</f>
        <v>2099</v>
      </c>
      <c r="K152" s="12">
        <f>2394+657</f>
        <v>3051</v>
      </c>
      <c r="L152" s="12">
        <v>1647</v>
      </c>
      <c r="M152" s="12">
        <v>200</v>
      </c>
      <c r="N152" s="12">
        <v>179</v>
      </c>
      <c r="O152" s="12">
        <v>240</v>
      </c>
      <c r="P152" s="39" t="s">
        <v>17</v>
      </c>
      <c r="Q152" s="13">
        <f>SUM(K152:P152)</f>
        <v>5317</v>
      </c>
      <c r="R152" s="14">
        <f>37918-R121</f>
        <v>2992</v>
      </c>
      <c r="S152" s="14">
        <f>18961-S121</f>
        <v>2684</v>
      </c>
      <c r="T152" s="14">
        <v>160</v>
      </c>
      <c r="U152" s="14">
        <v>0</v>
      </c>
      <c r="V152" s="14"/>
      <c r="W152" s="14"/>
      <c r="X152" s="14"/>
      <c r="Y152" s="65" t="s">
        <v>16</v>
      </c>
    </row>
    <row r="153" spans="2:26" s="15" customFormat="1" ht="16" customHeight="1">
      <c r="C153" s="57" t="s">
        <v>188</v>
      </c>
      <c r="D153" s="18">
        <f>SUM(D151:D152)</f>
        <v>3370</v>
      </c>
      <c r="E153" s="18">
        <f>SUM(E151:E152)</f>
        <v>1984</v>
      </c>
      <c r="F153" s="18">
        <f t="shared" ref="F153" si="81">SUM(F151:F152)</f>
        <v>6738</v>
      </c>
      <c r="G153" s="18">
        <f>SUM(G151:G152)</f>
        <v>136</v>
      </c>
      <c r="H153" s="18">
        <f t="shared" ref="H153" si="82">SUM(H151:H152)</f>
        <v>408</v>
      </c>
      <c r="I153" s="39" t="s">
        <v>17</v>
      </c>
      <c r="J153" s="19">
        <f t="shared" ref="J153" si="83">SUM(J151:J152)</f>
        <v>12636</v>
      </c>
      <c r="K153" s="18">
        <f>SUM(K151:K152)</f>
        <v>19185</v>
      </c>
      <c r="L153" s="18">
        <f>SUM(L151:L152)</f>
        <v>6291</v>
      </c>
      <c r="M153" s="18">
        <f t="shared" ref="M153:O153" si="84">SUM(M151:M152)</f>
        <v>2847</v>
      </c>
      <c r="N153" s="18">
        <f>SUM(N151:N152)</f>
        <v>179</v>
      </c>
      <c r="O153" s="18">
        <f t="shared" si="84"/>
        <v>240</v>
      </c>
      <c r="P153" s="39" t="s">
        <v>17</v>
      </c>
      <c r="Q153" s="19">
        <f t="shared" ref="Q153:R153" si="85">SUM(Q151:Q152)</f>
        <v>28742</v>
      </c>
      <c r="R153" s="20">
        <f t="shared" si="85"/>
        <v>17773</v>
      </c>
      <c r="S153" s="20">
        <f>SUM(S151:S152)</f>
        <v>9900</v>
      </c>
      <c r="T153" s="20">
        <f t="shared" ref="T153:X153" si="86">SUM(T151:T152)</f>
        <v>1483</v>
      </c>
      <c r="U153" s="20">
        <f>SUM(U151:U152)</f>
        <v>1951</v>
      </c>
      <c r="V153" s="20">
        <f>SUM(V151:V152)</f>
        <v>0</v>
      </c>
      <c r="W153" s="20">
        <f t="shared" si="86"/>
        <v>0</v>
      </c>
      <c r="X153" s="20">
        <f t="shared" si="86"/>
        <v>0</v>
      </c>
      <c r="Y153" s="19">
        <f>110912-Y148</f>
        <v>31107</v>
      </c>
    </row>
    <row r="154" spans="2:26" ht="17" customHeight="1" thickBot="1">
      <c r="B154" s="27"/>
      <c r="C154" s="28"/>
      <c r="D154" s="29"/>
      <c r="E154" s="29"/>
      <c r="F154" s="29"/>
      <c r="G154" s="30"/>
      <c r="H154" s="29"/>
      <c r="I154" s="29"/>
      <c r="J154" s="29"/>
      <c r="K154" s="29"/>
      <c r="L154" s="29"/>
      <c r="M154" s="29"/>
      <c r="N154" s="30"/>
      <c r="O154" s="29"/>
      <c r="P154" s="29"/>
      <c r="Q154" s="29"/>
      <c r="R154" s="29"/>
      <c r="S154" s="29"/>
      <c r="T154" s="29"/>
      <c r="U154" s="29"/>
      <c r="V154" s="29"/>
      <c r="W154" s="29"/>
      <c r="X154" s="29"/>
      <c r="Y154" s="29"/>
      <c r="Z154" s="22"/>
    </row>
    <row r="155" spans="2:26">
      <c r="B155" s="10" t="s">
        <v>189</v>
      </c>
      <c r="C155" s="11"/>
      <c r="J155" s="2"/>
      <c r="Q155" s="2"/>
      <c r="Y155" s="2"/>
    </row>
    <row r="156" spans="2:26" ht="32">
      <c r="C156" s="11" t="s">
        <v>190</v>
      </c>
      <c r="D156" s="34">
        <v>117</v>
      </c>
      <c r="E156" s="34">
        <v>89</v>
      </c>
      <c r="F156" s="12">
        <v>37</v>
      </c>
      <c r="G156" s="12">
        <v>45</v>
      </c>
      <c r="H156" s="12">
        <v>20</v>
      </c>
      <c r="I156" s="12">
        <f>I40</f>
        <v>9</v>
      </c>
      <c r="J156" s="13">
        <f>SUM(D156:I156)</f>
        <v>317</v>
      </c>
      <c r="K156" s="12">
        <f t="shared" ref="K156:N157" si="87">K40</f>
        <v>124</v>
      </c>
      <c r="L156" s="12">
        <f t="shared" si="87"/>
        <v>89</v>
      </c>
      <c r="M156" s="12">
        <f t="shared" si="87"/>
        <v>44</v>
      </c>
      <c r="N156" s="12">
        <f t="shared" si="87"/>
        <v>50</v>
      </c>
      <c r="O156" s="12">
        <v>7</v>
      </c>
      <c r="P156" s="12">
        <f>P40</f>
        <v>18</v>
      </c>
      <c r="Q156" s="13">
        <f>SUM(K156:P156)</f>
        <v>332</v>
      </c>
      <c r="R156" s="14">
        <v>106</v>
      </c>
      <c r="S156" s="14">
        <v>81</v>
      </c>
      <c r="T156" s="14">
        <v>26</v>
      </c>
      <c r="U156" s="14">
        <v>2</v>
      </c>
      <c r="V156" s="14">
        <v>33</v>
      </c>
      <c r="W156" s="14">
        <v>16</v>
      </c>
      <c r="X156" s="14">
        <v>2</v>
      </c>
      <c r="Y156" s="13">
        <f>SUM(R156:X156)</f>
        <v>266</v>
      </c>
    </row>
    <row r="157" spans="2:26" ht="32">
      <c r="B157" s="66"/>
      <c r="C157" s="11" t="s">
        <v>191</v>
      </c>
      <c r="D157" s="34">
        <v>30</v>
      </c>
      <c r="E157" s="34">
        <v>22</v>
      </c>
      <c r="F157" s="12">
        <v>7</v>
      </c>
      <c r="G157" s="12">
        <v>30</v>
      </c>
      <c r="H157" s="12">
        <v>6</v>
      </c>
      <c r="I157" s="12">
        <f>I41</f>
        <v>10</v>
      </c>
      <c r="J157" s="13">
        <f>SUM(D157:I157)</f>
        <v>105</v>
      </c>
      <c r="K157" s="12">
        <f t="shared" si="87"/>
        <v>32</v>
      </c>
      <c r="L157" s="12">
        <f t="shared" si="87"/>
        <v>23</v>
      </c>
      <c r="M157" s="12">
        <f t="shared" si="87"/>
        <v>10</v>
      </c>
      <c r="N157" s="12">
        <f t="shared" si="87"/>
        <v>32</v>
      </c>
      <c r="O157" s="12">
        <v>4</v>
      </c>
      <c r="P157" s="12">
        <f>P41</f>
        <v>7</v>
      </c>
      <c r="Q157" s="13">
        <f>SUM(K157:P157)</f>
        <v>108</v>
      </c>
      <c r="R157" s="14">
        <v>27</v>
      </c>
      <c r="S157" s="14">
        <v>22</v>
      </c>
      <c r="T157" s="14">
        <v>11</v>
      </c>
      <c r="U157" s="14">
        <v>0</v>
      </c>
      <c r="V157" s="14">
        <v>29</v>
      </c>
      <c r="W157" s="14">
        <v>7</v>
      </c>
      <c r="X157" s="14">
        <v>3</v>
      </c>
      <c r="Y157" s="13">
        <f>SUM(R157:X157)</f>
        <v>99</v>
      </c>
    </row>
    <row r="158" spans="2:26" ht="18" customHeight="1">
      <c r="B158" s="66"/>
      <c r="C158" s="11" t="s">
        <v>192</v>
      </c>
      <c r="D158" s="12">
        <f>SUM(D156:D157)</f>
        <v>147</v>
      </c>
      <c r="E158" s="12">
        <f t="shared" ref="E158:F158" si="88">SUM(E156:E157)</f>
        <v>111</v>
      </c>
      <c r="F158" s="12">
        <f t="shared" si="88"/>
        <v>44</v>
      </c>
      <c r="G158" s="12">
        <f>SUM(G156:G157)</f>
        <v>75</v>
      </c>
      <c r="H158" s="12">
        <f t="shared" ref="H158" si="89">SUM(H156:H157)</f>
        <v>26</v>
      </c>
      <c r="I158" s="12">
        <f>SUM(I156:I157)</f>
        <v>19</v>
      </c>
      <c r="J158" s="13">
        <f t="shared" ref="J158" si="90">SUM(J156:J157)</f>
        <v>422</v>
      </c>
      <c r="K158" s="12">
        <f>SUM(K156:K157)</f>
        <v>156</v>
      </c>
      <c r="L158" s="12">
        <f t="shared" ref="L158:Y158" si="91">SUM(L156:L157)</f>
        <v>112</v>
      </c>
      <c r="M158" s="12">
        <f t="shared" si="91"/>
        <v>54</v>
      </c>
      <c r="N158" s="12">
        <f>SUM(N156:N157)</f>
        <v>82</v>
      </c>
      <c r="O158" s="12">
        <f t="shared" si="91"/>
        <v>11</v>
      </c>
      <c r="P158" s="12">
        <f>SUM(P156:P157)</f>
        <v>25</v>
      </c>
      <c r="Q158" s="13">
        <f t="shared" si="91"/>
        <v>440</v>
      </c>
      <c r="R158" s="14">
        <f t="shared" si="91"/>
        <v>133</v>
      </c>
      <c r="S158" s="14">
        <f t="shared" si="91"/>
        <v>103</v>
      </c>
      <c r="T158" s="14">
        <f t="shared" si="91"/>
        <v>37</v>
      </c>
      <c r="U158" s="14">
        <f>SUM(U156:U157)</f>
        <v>2</v>
      </c>
      <c r="V158" s="14">
        <f>SUM(V156:V157)</f>
        <v>62</v>
      </c>
      <c r="W158" s="14">
        <f t="shared" si="91"/>
        <v>23</v>
      </c>
      <c r="X158" s="14">
        <f t="shared" si="91"/>
        <v>5</v>
      </c>
      <c r="Y158" s="13">
        <f t="shared" si="91"/>
        <v>365</v>
      </c>
    </row>
    <row r="159" spans="2:26" s="15" customFormat="1" ht="32">
      <c r="B159" s="53"/>
      <c r="C159" s="16" t="s">
        <v>193</v>
      </c>
      <c r="D159" s="54">
        <f t="shared" ref="D159:Y159" si="92">D158/D13</f>
        <v>0.26156583629893237</v>
      </c>
      <c r="E159" s="54">
        <f t="shared" si="92"/>
        <v>0.22023809523809523</v>
      </c>
      <c r="F159" s="54">
        <f t="shared" si="92"/>
        <v>0.34920634920634919</v>
      </c>
      <c r="G159" s="67">
        <f t="shared" si="92"/>
        <v>0.90361445783132532</v>
      </c>
      <c r="H159" s="54">
        <f t="shared" si="92"/>
        <v>0.32098765432098764</v>
      </c>
      <c r="I159" s="54">
        <f t="shared" si="92"/>
        <v>1</v>
      </c>
      <c r="J159" s="55">
        <f t="shared" si="92"/>
        <v>0.30690909090909091</v>
      </c>
      <c r="K159" s="54">
        <f t="shared" si="92"/>
        <v>0.29050279329608941</v>
      </c>
      <c r="L159" s="54">
        <f t="shared" si="92"/>
        <v>0.22266401590457258</v>
      </c>
      <c r="M159" s="54">
        <f t="shared" si="92"/>
        <v>0.78260869565217395</v>
      </c>
      <c r="N159" s="67">
        <f t="shared" si="92"/>
        <v>1</v>
      </c>
      <c r="O159" s="54">
        <f t="shared" si="92"/>
        <v>0.15068493150684931</v>
      </c>
      <c r="P159" s="54">
        <f t="shared" si="92"/>
        <v>1</v>
      </c>
      <c r="Q159" s="55">
        <f t="shared" si="92"/>
        <v>0.3413498836307215</v>
      </c>
      <c r="R159" s="54">
        <f t="shared" si="92"/>
        <v>0.24270072992700731</v>
      </c>
      <c r="S159" s="54">
        <f t="shared" si="92"/>
        <v>0.20934959349593496</v>
      </c>
      <c r="T159" s="54">
        <f t="shared" si="92"/>
        <v>0.60655737704918034</v>
      </c>
      <c r="U159" s="54">
        <f t="shared" si="92"/>
        <v>1</v>
      </c>
      <c r="V159" s="54">
        <f t="shared" si="92"/>
        <v>0.91176470588235292</v>
      </c>
      <c r="W159" s="54">
        <f t="shared" si="92"/>
        <v>0.41818181818181815</v>
      </c>
      <c r="X159" s="54">
        <f t="shared" si="92"/>
        <v>0.15151515151515152</v>
      </c>
      <c r="Y159" s="55">
        <f t="shared" si="92"/>
        <v>0.28991262907069104</v>
      </c>
    </row>
    <row r="160" spans="2:26">
      <c r="B160" s="26" t="s">
        <v>194</v>
      </c>
      <c r="C160" s="11"/>
      <c r="I160" s="22"/>
      <c r="J160" s="22"/>
      <c r="P160" s="22"/>
      <c r="Q160" s="22"/>
      <c r="R160" s="22"/>
      <c r="S160" s="22"/>
      <c r="T160" s="22"/>
      <c r="U160" s="22"/>
      <c r="V160" s="22"/>
      <c r="W160" s="22"/>
      <c r="X160" s="22"/>
      <c r="Y160" s="22"/>
      <c r="Z160" s="22"/>
    </row>
    <row r="161" spans="2:26" ht="17" customHeight="1" thickBot="1">
      <c r="B161" s="27"/>
      <c r="C161" s="28"/>
      <c r="D161" s="29"/>
      <c r="E161" s="29"/>
      <c r="F161" s="29"/>
      <c r="G161" s="30"/>
      <c r="H161" s="29"/>
      <c r="I161" s="29"/>
      <c r="J161" s="29"/>
      <c r="K161" s="29"/>
      <c r="L161" s="29"/>
      <c r="M161" s="29"/>
      <c r="N161" s="30"/>
      <c r="O161" s="29"/>
      <c r="P161" s="29"/>
      <c r="Q161" s="29"/>
      <c r="R161" s="29"/>
      <c r="S161" s="29"/>
      <c r="T161" s="29"/>
      <c r="U161" s="29"/>
      <c r="V161" s="29"/>
      <c r="W161" s="29"/>
      <c r="X161" s="29"/>
      <c r="Y161" s="29"/>
      <c r="Z161" s="22"/>
    </row>
    <row r="162" spans="2:26">
      <c r="B162" s="10" t="s">
        <v>195</v>
      </c>
      <c r="C162" s="11"/>
      <c r="J162" s="2"/>
      <c r="Q162" s="2"/>
      <c r="Y162" s="2"/>
    </row>
    <row r="163" spans="2:26" ht="17" customHeight="1">
      <c r="C163" s="11" t="s">
        <v>196</v>
      </c>
      <c r="D163" s="12">
        <v>5</v>
      </c>
      <c r="E163" s="12">
        <v>3</v>
      </c>
      <c r="F163" s="12">
        <v>1</v>
      </c>
      <c r="G163" s="12">
        <v>1</v>
      </c>
      <c r="H163" s="12">
        <v>1</v>
      </c>
      <c r="I163" s="12">
        <v>1</v>
      </c>
      <c r="J163" s="13">
        <f>SUM(D163:I163)</f>
        <v>12</v>
      </c>
      <c r="K163" s="12">
        <v>2</v>
      </c>
      <c r="L163" s="12">
        <v>1</v>
      </c>
      <c r="M163" s="12">
        <v>1</v>
      </c>
      <c r="N163" s="12">
        <v>0</v>
      </c>
      <c r="O163" s="12">
        <v>0</v>
      </c>
      <c r="P163" s="12">
        <v>0</v>
      </c>
      <c r="Q163" s="13">
        <f>SUM(K163:P163)</f>
        <v>4</v>
      </c>
      <c r="R163" s="14">
        <v>2</v>
      </c>
      <c r="S163" s="14">
        <v>1</v>
      </c>
      <c r="T163" s="14">
        <v>0</v>
      </c>
      <c r="U163" s="14">
        <v>0</v>
      </c>
      <c r="V163" s="14">
        <v>2</v>
      </c>
      <c r="W163" s="14">
        <v>0</v>
      </c>
      <c r="X163" s="14">
        <v>0</v>
      </c>
      <c r="Y163" s="13">
        <f>SUM(R163:X163)</f>
        <v>5</v>
      </c>
    </row>
    <row r="164" spans="2:26" ht="17" customHeight="1">
      <c r="C164" s="11" t="s">
        <v>197</v>
      </c>
      <c r="D164" s="12">
        <v>25</v>
      </c>
      <c r="E164" s="12">
        <v>20</v>
      </c>
      <c r="F164" s="12">
        <v>2</v>
      </c>
      <c r="G164" s="12">
        <v>1</v>
      </c>
      <c r="H164" s="12">
        <v>4</v>
      </c>
      <c r="I164" s="12">
        <v>0</v>
      </c>
      <c r="J164" s="13">
        <f>SUM(D164:I164)</f>
        <v>52</v>
      </c>
      <c r="K164" s="12">
        <v>24</v>
      </c>
      <c r="L164" s="12">
        <v>22</v>
      </c>
      <c r="M164" s="12">
        <v>1</v>
      </c>
      <c r="N164" s="12">
        <v>2</v>
      </c>
      <c r="O164" s="12">
        <v>0</v>
      </c>
      <c r="P164" s="12">
        <v>1</v>
      </c>
      <c r="Q164" s="13">
        <f>SUM(K164:P164)</f>
        <v>50</v>
      </c>
      <c r="R164" s="14">
        <v>5</v>
      </c>
      <c r="S164" s="14">
        <v>14</v>
      </c>
      <c r="T164" s="14">
        <v>0</v>
      </c>
      <c r="U164" s="14">
        <v>1</v>
      </c>
      <c r="V164" s="14">
        <v>1</v>
      </c>
      <c r="W164" s="14">
        <v>0</v>
      </c>
      <c r="X164" s="14">
        <v>0</v>
      </c>
      <c r="Y164" s="13">
        <f>SUM(R164:X164)</f>
        <v>21</v>
      </c>
    </row>
    <row r="165" spans="2:26" ht="15" customHeight="1">
      <c r="B165" s="66"/>
      <c r="C165" s="11" t="s">
        <v>198</v>
      </c>
      <c r="D165" s="12">
        <v>29</v>
      </c>
      <c r="E165" s="12">
        <v>23</v>
      </c>
      <c r="F165" s="12">
        <v>3</v>
      </c>
      <c r="G165" s="12">
        <v>2</v>
      </c>
      <c r="H165" s="12">
        <v>5</v>
      </c>
      <c r="I165" s="12">
        <v>0</v>
      </c>
      <c r="J165" s="13">
        <f>SUM(D165:I165)</f>
        <v>62</v>
      </c>
      <c r="K165" s="12">
        <v>26</v>
      </c>
      <c r="L165" s="12">
        <v>23</v>
      </c>
      <c r="M165" s="12">
        <v>2</v>
      </c>
      <c r="N165" s="12">
        <v>0</v>
      </c>
      <c r="O165" s="12">
        <v>0</v>
      </c>
      <c r="P165" s="12">
        <v>0</v>
      </c>
      <c r="Q165" s="13">
        <f>SUM(K165:P165)</f>
        <v>51</v>
      </c>
      <c r="R165" s="14">
        <v>7</v>
      </c>
      <c r="S165" s="14">
        <v>15</v>
      </c>
      <c r="T165" s="14">
        <v>0</v>
      </c>
      <c r="U165" s="14">
        <v>1</v>
      </c>
      <c r="V165" s="14">
        <v>3</v>
      </c>
      <c r="W165" s="14">
        <v>0</v>
      </c>
      <c r="X165" s="14">
        <v>0</v>
      </c>
      <c r="Y165" s="13">
        <v>26</v>
      </c>
    </row>
    <row r="166" spans="2:26" s="15" customFormat="1" ht="30" customHeight="1">
      <c r="B166" s="53"/>
      <c r="C166" s="16" t="s">
        <v>199</v>
      </c>
      <c r="D166" s="54">
        <f t="shared" ref="D166:F166" si="93">D165/(D164+D163)</f>
        <v>0.96666666666666667</v>
      </c>
      <c r="E166" s="54">
        <f t="shared" si="93"/>
        <v>1</v>
      </c>
      <c r="F166" s="54">
        <f t="shared" si="93"/>
        <v>1</v>
      </c>
      <c r="G166" s="67">
        <f>G165/(G164+G163)</f>
        <v>1</v>
      </c>
      <c r="H166" s="67">
        <f>H165/(H164+H163)</f>
        <v>1</v>
      </c>
      <c r="I166" s="54">
        <f t="shared" ref="I166:M166" si="94">I165/(I164+I163)</f>
        <v>0</v>
      </c>
      <c r="J166" s="55">
        <f t="shared" si="94"/>
        <v>0.96875</v>
      </c>
      <c r="K166" s="54">
        <f t="shared" si="94"/>
        <v>1</v>
      </c>
      <c r="L166" s="54">
        <f t="shared" si="94"/>
        <v>1</v>
      </c>
      <c r="M166" s="54">
        <f t="shared" si="94"/>
        <v>1</v>
      </c>
      <c r="N166" s="67">
        <f>N165/(N164+N163)</f>
        <v>0</v>
      </c>
      <c r="O166" s="68" t="s">
        <v>17</v>
      </c>
      <c r="P166" s="54">
        <f t="shared" ref="P166:T166" si="95">P165/(P164+P163)</f>
        <v>0</v>
      </c>
      <c r="Q166" s="55">
        <f t="shared" si="95"/>
        <v>0.94444444444444442</v>
      </c>
      <c r="R166" s="54">
        <f t="shared" si="95"/>
        <v>1</v>
      </c>
      <c r="S166" s="54">
        <f t="shared" si="95"/>
        <v>1</v>
      </c>
      <c r="T166" s="54" t="e">
        <f t="shared" si="95"/>
        <v>#DIV/0!</v>
      </c>
      <c r="U166" s="54">
        <f>U165/(U164+U163)</f>
        <v>1</v>
      </c>
      <c r="V166" s="54">
        <f t="shared" ref="V166:Y166" si="96">V165/(V164+V163)</f>
        <v>1</v>
      </c>
      <c r="W166" s="54" t="e">
        <f t="shared" si="96"/>
        <v>#DIV/0!</v>
      </c>
      <c r="X166" s="54" t="e">
        <f t="shared" si="96"/>
        <v>#DIV/0!</v>
      </c>
      <c r="Y166" s="55">
        <f t="shared" si="96"/>
        <v>1</v>
      </c>
    </row>
    <row r="167" spans="2:26" ht="17" customHeight="1" thickBot="1">
      <c r="B167" s="27"/>
      <c r="C167" s="28"/>
      <c r="D167" s="29"/>
      <c r="E167" s="29"/>
      <c r="F167" s="29"/>
      <c r="G167" s="30"/>
      <c r="H167" s="29"/>
      <c r="I167" s="29"/>
      <c r="J167" s="29"/>
      <c r="K167" s="29"/>
      <c r="L167" s="29"/>
      <c r="M167" s="29"/>
      <c r="N167" s="30"/>
      <c r="O167" s="29"/>
      <c r="P167" s="29"/>
      <c r="Q167" s="29"/>
      <c r="R167" s="29"/>
      <c r="S167" s="29"/>
      <c r="T167" s="29"/>
      <c r="U167" s="29"/>
      <c r="V167" s="29"/>
      <c r="W167" s="29"/>
      <c r="X167" s="29"/>
      <c r="Y167" s="29"/>
      <c r="Z167" s="22"/>
    </row>
    <row r="168" spans="2:26">
      <c r="B168" s="10" t="s">
        <v>200</v>
      </c>
      <c r="C168" s="11"/>
      <c r="J168" s="2"/>
      <c r="Q168" s="2"/>
      <c r="Y168" s="2"/>
    </row>
    <row r="169" spans="2:26" ht="16">
      <c r="C169" s="11" t="s">
        <v>201</v>
      </c>
      <c r="D169" s="69">
        <v>207.44</v>
      </c>
      <c r="E169" s="69">
        <v>207.44</v>
      </c>
      <c r="F169" s="69">
        <v>207.44</v>
      </c>
      <c r="G169" s="69">
        <v>207.44</v>
      </c>
      <c r="H169" s="69">
        <v>207.44</v>
      </c>
      <c r="I169" s="139" t="s">
        <v>17</v>
      </c>
      <c r="J169" s="69">
        <v>207.44</v>
      </c>
      <c r="K169" s="69">
        <v>172.87</v>
      </c>
      <c r="L169" s="70">
        <v>172.87</v>
      </c>
      <c r="M169" s="70">
        <v>172.87</v>
      </c>
      <c r="N169" s="70">
        <v>172.87</v>
      </c>
      <c r="O169" s="70">
        <v>172.87</v>
      </c>
      <c r="P169" s="139" t="s">
        <v>17</v>
      </c>
      <c r="Q169" s="71">
        <f>SUM(K169:P169)</f>
        <v>864.35</v>
      </c>
      <c r="R169" s="72">
        <v>141.69999999999999</v>
      </c>
      <c r="S169" s="72">
        <v>141.69999999999999</v>
      </c>
      <c r="T169" s="72">
        <v>141.69999999999999</v>
      </c>
      <c r="U169" s="72">
        <v>141.69999999999999</v>
      </c>
      <c r="V169" s="72"/>
      <c r="W169" s="72"/>
      <c r="X169" s="72" t="s">
        <v>16</v>
      </c>
      <c r="Y169" s="71">
        <f>AVERAGE(R169:X169)</f>
        <v>141.69999999999999</v>
      </c>
    </row>
    <row r="170" spans="2:26" ht="16">
      <c r="C170" s="11" t="s">
        <v>202</v>
      </c>
      <c r="D170" s="69">
        <v>0</v>
      </c>
      <c r="E170" s="70">
        <v>0</v>
      </c>
      <c r="F170" s="70">
        <v>0</v>
      </c>
      <c r="G170" s="70">
        <v>0</v>
      </c>
      <c r="H170" s="70">
        <v>0</v>
      </c>
      <c r="I170" s="139"/>
      <c r="J170" s="71">
        <f>SUM(D170:I170)</f>
        <v>0</v>
      </c>
      <c r="K170" s="69">
        <v>0</v>
      </c>
      <c r="L170" s="70">
        <v>0</v>
      </c>
      <c r="M170" s="70">
        <v>0</v>
      </c>
      <c r="N170" s="70">
        <v>0</v>
      </c>
      <c r="O170" s="70">
        <v>0</v>
      </c>
      <c r="P170" s="139"/>
      <c r="Q170" s="71">
        <f>SUM(K170:P170)</f>
        <v>0</v>
      </c>
      <c r="R170" s="72">
        <v>0</v>
      </c>
      <c r="S170" s="72">
        <v>0</v>
      </c>
      <c r="T170" s="72">
        <v>0</v>
      </c>
      <c r="U170" s="72" t="s">
        <v>19</v>
      </c>
      <c r="V170" s="72"/>
      <c r="W170" s="72"/>
      <c r="X170" s="72" t="s">
        <v>16</v>
      </c>
      <c r="Y170" s="71">
        <f>SUM(R170:X170)</f>
        <v>0</v>
      </c>
    </row>
    <row r="171" spans="2:26" ht="16">
      <c r="C171" s="11" t="s">
        <v>203</v>
      </c>
      <c r="D171" s="69">
        <v>322.5</v>
      </c>
      <c r="E171" s="70">
        <v>508.41</v>
      </c>
      <c r="F171" s="70">
        <v>324</v>
      </c>
      <c r="G171" s="70">
        <v>636.51</v>
      </c>
      <c r="H171" s="70">
        <v>250</v>
      </c>
      <c r="I171" s="139"/>
      <c r="J171" s="71">
        <f>AVERAGE(D171:H171)</f>
        <v>408.28399999999999</v>
      </c>
      <c r="K171" s="69">
        <v>300</v>
      </c>
      <c r="L171" s="70">
        <v>472.94</v>
      </c>
      <c r="M171" s="70">
        <v>315</v>
      </c>
      <c r="N171" s="70">
        <v>600</v>
      </c>
      <c r="O171" s="70">
        <v>733</v>
      </c>
      <c r="P171" s="139"/>
      <c r="Q171" s="71">
        <f>SUM(K171:P171)</f>
        <v>2420.94</v>
      </c>
      <c r="R171" s="72">
        <v>265</v>
      </c>
      <c r="S171" s="72">
        <v>442</v>
      </c>
      <c r="T171" s="72">
        <v>200</v>
      </c>
      <c r="U171" s="72" t="s">
        <v>19</v>
      </c>
      <c r="V171" s="72"/>
      <c r="W171" s="72"/>
      <c r="X171" s="72" t="s">
        <v>16</v>
      </c>
      <c r="Y171" s="71">
        <f>AVERAGE(R171:X171)</f>
        <v>302.33333333333331</v>
      </c>
    </row>
    <row r="172" spans="2:26" ht="32">
      <c r="B172" s="66"/>
      <c r="C172" s="11" t="s">
        <v>204</v>
      </c>
      <c r="D172" s="12">
        <v>0</v>
      </c>
      <c r="E172" s="12">
        <v>22</v>
      </c>
      <c r="F172" s="12">
        <v>4</v>
      </c>
      <c r="G172" s="14">
        <v>1</v>
      </c>
      <c r="H172" s="14">
        <v>6</v>
      </c>
      <c r="I172" s="139"/>
      <c r="J172" s="13">
        <f>SUM(D172:I172)</f>
        <v>33</v>
      </c>
      <c r="K172" s="12">
        <v>1</v>
      </c>
      <c r="L172" s="12">
        <v>26</v>
      </c>
      <c r="M172" s="12">
        <v>6</v>
      </c>
      <c r="N172" s="14">
        <v>2</v>
      </c>
      <c r="O172" s="14">
        <v>0</v>
      </c>
      <c r="P172" s="139"/>
      <c r="Q172" s="13">
        <f>SUM(K172:P172)</f>
        <v>35</v>
      </c>
      <c r="R172" s="14">
        <v>0</v>
      </c>
      <c r="S172" s="14">
        <v>7</v>
      </c>
      <c r="T172" s="14">
        <v>0</v>
      </c>
      <c r="U172" s="14" t="s">
        <v>19</v>
      </c>
      <c r="V172" s="14"/>
      <c r="W172" s="14"/>
      <c r="X172" s="14" t="s">
        <v>16</v>
      </c>
      <c r="Y172" s="13">
        <f>SUM(R172:X172)</f>
        <v>7</v>
      </c>
    </row>
    <row r="173" spans="2:26" ht="32">
      <c r="B173" s="66"/>
      <c r="C173" s="11" t="s">
        <v>205</v>
      </c>
      <c r="D173" s="12">
        <v>43</v>
      </c>
      <c r="E173" s="12">
        <v>8</v>
      </c>
      <c r="F173" s="12">
        <v>5</v>
      </c>
      <c r="G173" s="14">
        <v>0</v>
      </c>
      <c r="H173" s="14">
        <v>0</v>
      </c>
      <c r="I173" s="139"/>
      <c r="J173" s="13">
        <f>SUM(D173:I173)</f>
        <v>56</v>
      </c>
      <c r="K173" s="12">
        <v>38</v>
      </c>
      <c r="L173" s="12">
        <v>7</v>
      </c>
      <c r="M173" s="12">
        <v>7</v>
      </c>
      <c r="N173" s="14">
        <v>1</v>
      </c>
      <c r="O173" s="14">
        <v>1</v>
      </c>
      <c r="P173" s="139"/>
      <c r="Q173" s="13">
        <f>SUM(K173:P173)</f>
        <v>54</v>
      </c>
      <c r="R173" s="14">
        <v>40</v>
      </c>
      <c r="S173" s="14">
        <v>24</v>
      </c>
      <c r="T173" s="14">
        <v>4</v>
      </c>
      <c r="U173" s="14" t="s">
        <v>19</v>
      </c>
      <c r="V173" s="14"/>
      <c r="W173" s="14"/>
      <c r="X173" s="14" t="s">
        <v>16</v>
      </c>
      <c r="Y173" s="31">
        <f>SUM(R173:X173)</f>
        <v>68</v>
      </c>
    </row>
    <row r="174" spans="2:26" ht="32">
      <c r="B174" s="66"/>
      <c r="C174" s="11" t="s">
        <v>206</v>
      </c>
      <c r="D174" s="12">
        <f>SUM(D172:D173)</f>
        <v>43</v>
      </c>
      <c r="E174" s="12">
        <f>SUM(E172:E173)</f>
        <v>30</v>
      </c>
      <c r="F174" s="12">
        <f>SUM(F172:F173)</f>
        <v>9</v>
      </c>
      <c r="G174" s="12">
        <f>SUM(G172:G173)</f>
        <v>1</v>
      </c>
      <c r="H174" s="12">
        <f>SUM(H172:H173)</f>
        <v>6</v>
      </c>
      <c r="I174" s="139"/>
      <c r="J174" s="13">
        <f t="shared" ref="J174" si="97">SUM(J172:J173)</f>
        <v>89</v>
      </c>
      <c r="K174" s="12">
        <f>SUM(K172:K173)</f>
        <v>39</v>
      </c>
      <c r="L174" s="12">
        <f t="shared" ref="L174:Y174" si="98">SUM(L172:L173)</f>
        <v>33</v>
      </c>
      <c r="M174" s="12">
        <f t="shared" si="98"/>
        <v>13</v>
      </c>
      <c r="N174" s="14">
        <f>SUM(N172:N173)</f>
        <v>3</v>
      </c>
      <c r="O174" s="14">
        <f t="shared" si="98"/>
        <v>1</v>
      </c>
      <c r="P174" s="139"/>
      <c r="Q174" s="13">
        <f t="shared" si="98"/>
        <v>89</v>
      </c>
      <c r="R174" s="14">
        <f t="shared" si="98"/>
        <v>40</v>
      </c>
      <c r="S174" s="14">
        <f t="shared" si="98"/>
        <v>31</v>
      </c>
      <c r="T174" s="14">
        <f t="shared" si="98"/>
        <v>4</v>
      </c>
      <c r="U174" s="14" t="s">
        <v>19</v>
      </c>
      <c r="V174" s="14">
        <f>SUM(V172:V173)</f>
        <v>0</v>
      </c>
      <c r="W174" s="14">
        <f t="shared" si="98"/>
        <v>0</v>
      </c>
      <c r="X174" s="14">
        <f t="shared" si="98"/>
        <v>0</v>
      </c>
      <c r="Y174" s="31">
        <f t="shared" si="98"/>
        <v>75</v>
      </c>
    </row>
    <row r="175" spans="2:26" ht="32">
      <c r="B175" s="66"/>
      <c r="C175" s="16" t="s">
        <v>207</v>
      </c>
      <c r="D175" s="73">
        <f>D174/D13</f>
        <v>7.6512455516014238E-2</v>
      </c>
      <c r="E175" s="73">
        <f>E174/E13</f>
        <v>5.9523809523809521E-2</v>
      </c>
      <c r="F175" s="73">
        <f>F174/F13</f>
        <v>7.1428571428571425E-2</v>
      </c>
      <c r="G175" s="74">
        <f>G174/G13</f>
        <v>1.2048192771084338E-2</v>
      </c>
      <c r="H175" s="73">
        <f>H174/H13</f>
        <v>7.407407407407407E-2</v>
      </c>
      <c r="I175" s="139"/>
      <c r="J175" s="75">
        <f t="shared" ref="J175:O175" si="99">J174/J13</f>
        <v>6.4727272727272731E-2</v>
      </c>
      <c r="K175" s="73">
        <f t="shared" si="99"/>
        <v>7.2625698324022353E-2</v>
      </c>
      <c r="L175" s="73">
        <f t="shared" si="99"/>
        <v>6.560636182902585E-2</v>
      </c>
      <c r="M175" s="73">
        <f t="shared" si="99"/>
        <v>0.18840579710144928</v>
      </c>
      <c r="N175" s="74">
        <f t="shared" si="99"/>
        <v>3.6585365853658534E-2</v>
      </c>
      <c r="O175" s="73">
        <f t="shared" si="99"/>
        <v>1.3698630136986301E-2</v>
      </c>
      <c r="P175" s="139"/>
      <c r="Q175" s="75">
        <f>Q174/Q13</f>
        <v>6.9045771916214124E-2</v>
      </c>
      <c r="R175" s="73">
        <f>R174/R13</f>
        <v>7.2992700729927001E-2</v>
      </c>
      <c r="S175" s="73">
        <f>S174/S13</f>
        <v>6.3008130081300809E-2</v>
      </c>
      <c r="T175" s="73">
        <f>T174/T13</f>
        <v>6.5573770491803282E-2</v>
      </c>
      <c r="U175" s="2" t="s">
        <v>19</v>
      </c>
      <c r="V175" s="73">
        <f t="shared" ref="V175:Y175" si="100">V174/V13</f>
        <v>0</v>
      </c>
      <c r="W175" s="73">
        <f t="shared" si="100"/>
        <v>0</v>
      </c>
      <c r="X175" s="73">
        <f t="shared" si="100"/>
        <v>0</v>
      </c>
      <c r="Y175" s="75">
        <f t="shared" si="100"/>
        <v>5.9571088165210485E-2</v>
      </c>
    </row>
    <row r="176" spans="2:26">
      <c r="B176" s="76" t="s">
        <v>208</v>
      </c>
    </row>
    <row r="177" spans="2:25" ht="16" customHeight="1" thickBot="1">
      <c r="B177" s="27"/>
      <c r="C177" s="28"/>
      <c r="D177" s="28"/>
      <c r="E177" s="27"/>
      <c r="F177" s="27"/>
      <c r="G177" s="27"/>
      <c r="H177" s="27"/>
      <c r="I177" s="27"/>
      <c r="J177" s="27"/>
      <c r="K177" s="28"/>
      <c r="L177" s="27"/>
      <c r="M177" s="27"/>
      <c r="N177" s="27"/>
      <c r="O177" s="27"/>
      <c r="P177" s="27"/>
      <c r="Q177" s="27"/>
      <c r="R177" s="27"/>
      <c r="S177" s="29"/>
      <c r="T177" s="29"/>
      <c r="U177" s="29"/>
      <c r="V177" s="29"/>
      <c r="W177" s="29"/>
      <c r="X177" s="29"/>
      <c r="Y177" s="27"/>
    </row>
    <row r="178" spans="2:25">
      <c r="C178" s="66"/>
      <c r="J178" s="2"/>
      <c r="Q178" s="2"/>
      <c r="Y178" s="2"/>
    </row>
    <row r="179" spans="2:25">
      <c r="B179" s="66"/>
    </row>
    <row r="180" spans="2:25">
      <c r="B180" s="66"/>
    </row>
    <row r="181" spans="2:25">
      <c r="B181" s="66"/>
    </row>
    <row r="182" spans="2:25">
      <c r="B182" s="66"/>
    </row>
    <row r="183" spans="2:25" ht="21">
      <c r="B183" s="66"/>
      <c r="C183" s="77"/>
    </row>
    <row r="184" spans="2:25" ht="21">
      <c r="B184" s="66"/>
      <c r="C184" s="77"/>
    </row>
    <row r="185" spans="2:25">
      <c r="B185" s="66"/>
    </row>
    <row r="186" spans="2:25">
      <c r="B186" s="66"/>
    </row>
    <row r="187" spans="2:25" ht="21">
      <c r="B187" s="66"/>
      <c r="C187" s="77"/>
    </row>
    <row r="188" spans="2:25" ht="19">
      <c r="B188" s="66"/>
      <c r="C188" s="78"/>
    </row>
    <row r="189" spans="2:25" ht="19">
      <c r="B189" s="66"/>
      <c r="C189" s="78"/>
    </row>
    <row r="190" spans="2:25">
      <c r="B190" s="66"/>
    </row>
    <row r="191" spans="2:25">
      <c r="B191" s="66"/>
    </row>
    <row r="192" spans="2:25">
      <c r="B192" s="66"/>
    </row>
    <row r="193" spans="2:2">
      <c r="B193" s="66"/>
    </row>
    <row r="194" spans="2:2">
      <c r="B194" s="66"/>
    </row>
    <row r="195" spans="2:2">
      <c r="B195" s="66"/>
    </row>
    <row r="196" spans="2:2">
      <c r="B196" s="66"/>
    </row>
    <row r="197" spans="2:2">
      <c r="B197" s="66"/>
    </row>
    <row r="198" spans="2:2">
      <c r="B198" s="66"/>
    </row>
    <row r="199" spans="2:2">
      <c r="B199" s="66"/>
    </row>
    <row r="200" spans="2:2">
      <c r="B200" s="66"/>
    </row>
    <row r="201" spans="2:2">
      <c r="B201" s="66"/>
    </row>
    <row r="202" spans="2:2">
      <c r="B202" s="66"/>
    </row>
    <row r="203" spans="2:2">
      <c r="B203" s="66"/>
    </row>
    <row r="204" spans="2:2">
      <c r="B204" s="66"/>
    </row>
    <row r="205" spans="2:2">
      <c r="B205" s="66"/>
    </row>
    <row r="206" spans="2:2">
      <c r="B206" s="66"/>
    </row>
    <row r="207" spans="2:2">
      <c r="B207" s="66"/>
    </row>
    <row r="208" spans="2:2">
      <c r="B208" s="66"/>
    </row>
    <row r="209" spans="2:2">
      <c r="B209" s="66"/>
    </row>
    <row r="210" spans="2:2">
      <c r="B210" s="66"/>
    </row>
    <row r="211" spans="2:2">
      <c r="B211" s="66"/>
    </row>
    <row r="212" spans="2:2">
      <c r="B212" s="66"/>
    </row>
    <row r="213" spans="2:2">
      <c r="B213" s="66"/>
    </row>
    <row r="214" spans="2:2">
      <c r="B214" s="66"/>
    </row>
    <row r="215" spans="2:2">
      <c r="B215" s="66"/>
    </row>
    <row r="216" spans="2:2">
      <c r="B216" s="66"/>
    </row>
    <row r="217" spans="2:2">
      <c r="B217" s="66"/>
    </row>
    <row r="218" spans="2:2">
      <c r="B218" s="66"/>
    </row>
    <row r="219" spans="2:2">
      <c r="B219" s="66"/>
    </row>
    <row r="220" spans="2:2">
      <c r="B220" s="66"/>
    </row>
    <row r="221" spans="2:2">
      <c r="B221" s="66"/>
    </row>
    <row r="222" spans="2:2">
      <c r="B222" s="66"/>
    </row>
    <row r="223" spans="2:2">
      <c r="B223" s="66"/>
    </row>
    <row r="224" spans="2:2">
      <c r="B224" s="66"/>
    </row>
    <row r="225" spans="2:2">
      <c r="B225" s="66"/>
    </row>
    <row r="226" spans="2:2">
      <c r="B226" s="66"/>
    </row>
    <row r="227" spans="2:2">
      <c r="B227" s="66"/>
    </row>
    <row r="228" spans="2:2">
      <c r="B228" s="66"/>
    </row>
    <row r="229" spans="2:2">
      <c r="B229" s="66"/>
    </row>
    <row r="230" spans="2:2">
      <c r="B230" s="66"/>
    </row>
    <row r="231" spans="2:2">
      <c r="B231" s="66"/>
    </row>
    <row r="232" spans="2:2">
      <c r="B232" s="66"/>
    </row>
    <row r="233" spans="2:2">
      <c r="B233" s="66"/>
    </row>
    <row r="234" spans="2:2">
      <c r="B234" s="66"/>
    </row>
    <row r="235" spans="2:2">
      <c r="B235" s="66"/>
    </row>
    <row r="236" spans="2:2">
      <c r="B236" s="66"/>
    </row>
    <row r="237" spans="2:2">
      <c r="B237" s="66"/>
    </row>
    <row r="238" spans="2:2">
      <c r="B238" s="66"/>
    </row>
    <row r="239" spans="2:2">
      <c r="B239" s="66"/>
    </row>
    <row r="240" spans="2:2">
      <c r="B240" s="66"/>
    </row>
    <row r="241" spans="2:2">
      <c r="B241" s="66"/>
    </row>
    <row r="242" spans="2:2">
      <c r="B242" s="66"/>
    </row>
    <row r="243" spans="2:2">
      <c r="B243" s="66"/>
    </row>
    <row r="244" spans="2:2">
      <c r="B244" s="66"/>
    </row>
    <row r="245" spans="2:2">
      <c r="B245" s="66"/>
    </row>
    <row r="246" spans="2:2">
      <c r="B246" s="66"/>
    </row>
    <row r="247" spans="2:2">
      <c r="B247" s="66"/>
    </row>
    <row r="248" spans="2:2">
      <c r="B248" s="66"/>
    </row>
    <row r="249" spans="2:2">
      <c r="B249" s="66"/>
    </row>
    <row r="250" spans="2:2">
      <c r="B250" s="66"/>
    </row>
    <row r="251" spans="2:2">
      <c r="B251" s="66"/>
    </row>
    <row r="252" spans="2:2">
      <c r="B252" s="66"/>
    </row>
    <row r="253" spans="2:2">
      <c r="B253" s="66"/>
    </row>
    <row r="254" spans="2:2">
      <c r="B254" s="66"/>
    </row>
    <row r="255" spans="2:2">
      <c r="B255" s="66"/>
    </row>
    <row r="256" spans="2:2">
      <c r="B256" s="66"/>
    </row>
    <row r="257" spans="2:2">
      <c r="B257" s="66"/>
    </row>
    <row r="258" spans="2:2">
      <c r="B258" s="66"/>
    </row>
    <row r="259" spans="2:2">
      <c r="B259" s="66"/>
    </row>
    <row r="260" spans="2:2">
      <c r="B260" s="66"/>
    </row>
    <row r="261" spans="2:2">
      <c r="B261" s="66"/>
    </row>
    <row r="262" spans="2:2">
      <c r="B262" s="66"/>
    </row>
    <row r="263" spans="2:2">
      <c r="B263" s="66"/>
    </row>
    <row r="264" spans="2:2">
      <c r="B264" s="66"/>
    </row>
    <row r="265" spans="2:2">
      <c r="B265" s="66"/>
    </row>
    <row r="266" spans="2:2">
      <c r="B266" s="66"/>
    </row>
    <row r="267" spans="2:2">
      <c r="B267" s="66"/>
    </row>
    <row r="268" spans="2:2">
      <c r="B268" s="66"/>
    </row>
    <row r="269" spans="2:2">
      <c r="B269" s="66"/>
    </row>
    <row r="270" spans="2:2">
      <c r="B270" s="66"/>
    </row>
    <row r="271" spans="2:2">
      <c r="B271" s="66"/>
    </row>
    <row r="272" spans="2:2">
      <c r="B272" s="66"/>
    </row>
    <row r="273" spans="2:2">
      <c r="B273" s="66"/>
    </row>
    <row r="274" spans="2:2">
      <c r="B274" s="66"/>
    </row>
    <row r="275" spans="2:2">
      <c r="B275" s="66"/>
    </row>
    <row r="276" spans="2:2">
      <c r="B276" s="66"/>
    </row>
    <row r="277" spans="2:2">
      <c r="B277" s="66"/>
    </row>
    <row r="278" spans="2:2">
      <c r="B278" s="66"/>
    </row>
    <row r="279" spans="2:2">
      <c r="B279" s="66"/>
    </row>
    <row r="280" spans="2:2">
      <c r="B280" s="66"/>
    </row>
    <row r="281" spans="2:2">
      <c r="B281" s="66"/>
    </row>
    <row r="282" spans="2:2">
      <c r="B282" s="66"/>
    </row>
    <row r="283" spans="2:2">
      <c r="B283" s="66"/>
    </row>
    <row r="284" spans="2:2">
      <c r="B284" s="66"/>
    </row>
    <row r="285" spans="2:2">
      <c r="B285" s="66"/>
    </row>
    <row r="286" spans="2:2">
      <c r="B286" s="66"/>
    </row>
    <row r="287" spans="2:2">
      <c r="B287" s="66"/>
    </row>
    <row r="288" spans="2:2">
      <c r="B288" s="66"/>
    </row>
    <row r="289" spans="2:2">
      <c r="B289" s="66"/>
    </row>
    <row r="290" spans="2:2">
      <c r="B290" s="66"/>
    </row>
    <row r="291" spans="2:2">
      <c r="B291" s="66"/>
    </row>
    <row r="292" spans="2:2">
      <c r="B292" s="66"/>
    </row>
    <row r="293" spans="2:2">
      <c r="B293" s="66"/>
    </row>
    <row r="294" spans="2:2">
      <c r="B294" s="66"/>
    </row>
    <row r="295" spans="2:2">
      <c r="B295" s="66"/>
    </row>
    <row r="296" spans="2:2">
      <c r="B296" s="66"/>
    </row>
    <row r="297" spans="2:2">
      <c r="B297" s="66"/>
    </row>
    <row r="298" spans="2:2">
      <c r="B298" s="66"/>
    </row>
    <row r="299" spans="2:2">
      <c r="B299" s="66"/>
    </row>
    <row r="300" spans="2:2">
      <c r="B300" s="66"/>
    </row>
    <row r="301" spans="2:2">
      <c r="B301" s="66"/>
    </row>
    <row r="302" spans="2:2">
      <c r="B302" s="66"/>
    </row>
    <row r="303" spans="2:2">
      <c r="B303" s="66"/>
    </row>
    <row r="304" spans="2:2">
      <c r="B304" s="66"/>
    </row>
    <row r="305" spans="2:2">
      <c r="B305" s="66"/>
    </row>
    <row r="306" spans="2:2">
      <c r="B306" s="66"/>
    </row>
    <row r="307" spans="2:2">
      <c r="B307" s="66"/>
    </row>
    <row r="308" spans="2:2">
      <c r="B308" s="66"/>
    </row>
    <row r="309" spans="2:2">
      <c r="B309" s="66"/>
    </row>
    <row r="310" spans="2:2">
      <c r="B310" s="66"/>
    </row>
    <row r="311" spans="2:2">
      <c r="B311" s="66"/>
    </row>
    <row r="312" spans="2:2">
      <c r="B312" s="66"/>
    </row>
    <row r="313" spans="2:2">
      <c r="B313" s="66"/>
    </row>
    <row r="314" spans="2:2">
      <c r="B314" s="66"/>
    </row>
    <row r="315" spans="2:2">
      <c r="B315" s="66"/>
    </row>
    <row r="316" spans="2:2">
      <c r="B316" s="66"/>
    </row>
    <row r="317" spans="2:2">
      <c r="B317" s="66"/>
    </row>
    <row r="318" spans="2:2">
      <c r="B318" s="66"/>
    </row>
    <row r="319" spans="2:2">
      <c r="B319" s="66"/>
    </row>
    <row r="320" spans="2:2">
      <c r="B320" s="66"/>
    </row>
    <row r="321" spans="2:2">
      <c r="B321" s="66"/>
    </row>
    <row r="322" spans="2:2">
      <c r="B322" s="66"/>
    </row>
    <row r="323" spans="2:2">
      <c r="B323" s="66"/>
    </row>
    <row r="324" spans="2:2">
      <c r="B324" s="66"/>
    </row>
    <row r="325" spans="2:2">
      <c r="B325" s="66"/>
    </row>
    <row r="326" spans="2:2">
      <c r="B326" s="66"/>
    </row>
    <row r="327" spans="2:2">
      <c r="B327" s="66"/>
    </row>
    <row r="328" spans="2:2">
      <c r="B328" s="66"/>
    </row>
    <row r="329" spans="2:2">
      <c r="B329" s="66"/>
    </row>
    <row r="330" spans="2:2">
      <c r="B330" s="66"/>
    </row>
    <row r="331" spans="2:2">
      <c r="B331" s="66"/>
    </row>
    <row r="332" spans="2:2">
      <c r="B332" s="66"/>
    </row>
    <row r="333" spans="2:2">
      <c r="B333" s="66"/>
    </row>
    <row r="334" spans="2:2">
      <c r="B334" s="66"/>
    </row>
    <row r="335" spans="2:2">
      <c r="B335" s="66"/>
    </row>
    <row r="336" spans="2:2">
      <c r="B336" s="66"/>
    </row>
    <row r="337" spans="2:2">
      <c r="B337" s="66"/>
    </row>
    <row r="338" spans="2:2">
      <c r="B338" s="66"/>
    </row>
    <row r="339" spans="2:2">
      <c r="B339" s="66"/>
    </row>
    <row r="340" spans="2:2">
      <c r="B340" s="66"/>
    </row>
    <row r="341" spans="2:2">
      <c r="B341" s="66"/>
    </row>
    <row r="342" spans="2:2">
      <c r="B342" s="66"/>
    </row>
    <row r="343" spans="2:2">
      <c r="B343" s="66"/>
    </row>
    <row r="344" spans="2:2">
      <c r="B344" s="66"/>
    </row>
    <row r="345" spans="2:2">
      <c r="B345" s="66"/>
    </row>
    <row r="346" spans="2:2">
      <c r="B346" s="66"/>
    </row>
    <row r="347" spans="2:2">
      <c r="B347" s="66"/>
    </row>
    <row r="348" spans="2:2">
      <c r="B348" s="66"/>
    </row>
    <row r="349" spans="2:2">
      <c r="B349" s="66"/>
    </row>
    <row r="350" spans="2:2">
      <c r="B350" s="66"/>
    </row>
    <row r="351" spans="2:2">
      <c r="B351" s="66"/>
    </row>
    <row r="352" spans="2:2">
      <c r="B352" s="66"/>
    </row>
    <row r="353" spans="2:2">
      <c r="B353" s="66"/>
    </row>
    <row r="354" spans="2:2">
      <c r="B354" s="66"/>
    </row>
    <row r="355" spans="2:2">
      <c r="B355" s="66"/>
    </row>
    <row r="356" spans="2:2">
      <c r="B356" s="66"/>
    </row>
    <row r="357" spans="2:2">
      <c r="B357" s="66"/>
    </row>
    <row r="358" spans="2:2">
      <c r="B358" s="66"/>
    </row>
    <row r="359" spans="2:2">
      <c r="B359" s="66"/>
    </row>
    <row r="360" spans="2:2">
      <c r="B360" s="66"/>
    </row>
    <row r="361" spans="2:2">
      <c r="B361" s="66"/>
    </row>
    <row r="362" spans="2:2">
      <c r="B362" s="66"/>
    </row>
    <row r="363" spans="2:2">
      <c r="B363" s="66"/>
    </row>
    <row r="364" spans="2:2">
      <c r="B364" s="66"/>
    </row>
    <row r="365" spans="2:2">
      <c r="B365" s="66"/>
    </row>
    <row r="366" spans="2:2">
      <c r="B366" s="66"/>
    </row>
    <row r="367" spans="2:2">
      <c r="B367" s="66"/>
    </row>
    <row r="368" spans="2:2">
      <c r="B368" s="66"/>
    </row>
    <row r="369" spans="2:2">
      <c r="B369" s="66"/>
    </row>
    <row r="370" spans="2:2">
      <c r="B370" s="66"/>
    </row>
    <row r="371" spans="2:2">
      <c r="B371" s="66"/>
    </row>
    <row r="372" spans="2:2">
      <c r="B372" s="66"/>
    </row>
    <row r="373" spans="2:2">
      <c r="B373" s="66"/>
    </row>
    <row r="374" spans="2:2">
      <c r="B374" s="66"/>
    </row>
    <row r="375" spans="2:2">
      <c r="B375" s="66"/>
    </row>
    <row r="376" spans="2:2">
      <c r="B376" s="66"/>
    </row>
    <row r="377" spans="2:2">
      <c r="B377" s="66"/>
    </row>
    <row r="378" spans="2:2">
      <c r="B378" s="66"/>
    </row>
    <row r="379" spans="2:2">
      <c r="B379" s="66"/>
    </row>
    <row r="380" spans="2:2">
      <c r="B380" s="66"/>
    </row>
    <row r="381" spans="2:2">
      <c r="B381" s="66"/>
    </row>
    <row r="382" spans="2:2">
      <c r="B382" s="66"/>
    </row>
    <row r="383" spans="2:2">
      <c r="B383" s="66"/>
    </row>
    <row r="384" spans="2:2">
      <c r="B384" s="66"/>
    </row>
    <row r="385" spans="2:2">
      <c r="B385" s="66"/>
    </row>
    <row r="386" spans="2:2">
      <c r="B386" s="66"/>
    </row>
    <row r="387" spans="2:2">
      <c r="B387" s="66"/>
    </row>
    <row r="388" spans="2:2">
      <c r="B388" s="66"/>
    </row>
    <row r="389" spans="2:2">
      <c r="B389" s="66"/>
    </row>
    <row r="390" spans="2:2">
      <c r="B390" s="66"/>
    </row>
    <row r="391" spans="2:2">
      <c r="B391" s="66"/>
    </row>
    <row r="392" spans="2:2">
      <c r="B392" s="66"/>
    </row>
    <row r="393" spans="2:2">
      <c r="B393" s="66"/>
    </row>
    <row r="394" spans="2:2">
      <c r="B394" s="66"/>
    </row>
    <row r="395" spans="2:2">
      <c r="B395" s="66"/>
    </row>
    <row r="396" spans="2:2">
      <c r="B396" s="66"/>
    </row>
    <row r="397" spans="2:2">
      <c r="B397" s="66"/>
    </row>
    <row r="398" spans="2:2">
      <c r="B398" s="66"/>
    </row>
    <row r="399" spans="2:2">
      <c r="B399" s="66"/>
    </row>
    <row r="400" spans="2:2">
      <c r="B400" s="66"/>
    </row>
    <row r="401" spans="2:2">
      <c r="B401" s="66"/>
    </row>
    <row r="402" spans="2:2">
      <c r="B402" s="66"/>
    </row>
    <row r="403" spans="2:2">
      <c r="B403" s="66"/>
    </row>
    <row r="404" spans="2:2">
      <c r="B404" s="66"/>
    </row>
    <row r="405" spans="2:2">
      <c r="B405" s="66"/>
    </row>
    <row r="406" spans="2:2">
      <c r="B406" s="66"/>
    </row>
    <row r="407" spans="2:2">
      <c r="B407" s="66"/>
    </row>
    <row r="408" spans="2:2">
      <c r="B408" s="66"/>
    </row>
    <row r="409" spans="2:2">
      <c r="B409" s="66"/>
    </row>
    <row r="410" spans="2:2">
      <c r="B410" s="66"/>
    </row>
    <row r="411" spans="2:2">
      <c r="B411" s="66"/>
    </row>
    <row r="412" spans="2:2">
      <c r="B412" s="66"/>
    </row>
    <row r="413" spans="2:2">
      <c r="B413" s="66"/>
    </row>
    <row r="414" spans="2:2">
      <c r="B414" s="66"/>
    </row>
    <row r="415" spans="2:2">
      <c r="B415" s="66"/>
    </row>
    <row r="416" spans="2:2">
      <c r="B416" s="66"/>
    </row>
    <row r="417" spans="2:2">
      <c r="B417" s="66"/>
    </row>
    <row r="418" spans="2:2">
      <c r="B418" s="66"/>
    </row>
    <row r="419" spans="2:2">
      <c r="B419" s="66"/>
    </row>
    <row r="420" spans="2:2">
      <c r="B420" s="66"/>
    </row>
    <row r="421" spans="2:2">
      <c r="B421" s="66"/>
    </row>
    <row r="422" spans="2:2">
      <c r="B422" s="66"/>
    </row>
    <row r="423" spans="2:2">
      <c r="B423" s="66"/>
    </row>
    <row r="424" spans="2:2">
      <c r="B424" s="66"/>
    </row>
    <row r="425" spans="2:2">
      <c r="B425" s="66"/>
    </row>
    <row r="426" spans="2:2">
      <c r="B426" s="66"/>
    </row>
    <row r="427" spans="2:2">
      <c r="B427" s="66"/>
    </row>
    <row r="428" spans="2:2">
      <c r="B428" s="66"/>
    </row>
    <row r="429" spans="2:2">
      <c r="B429" s="66"/>
    </row>
    <row r="430" spans="2:2">
      <c r="B430" s="66"/>
    </row>
    <row r="431" spans="2:2">
      <c r="B431" s="66"/>
    </row>
    <row r="432" spans="2:2">
      <c r="B432" s="66"/>
    </row>
    <row r="433" spans="2:2">
      <c r="B433" s="66"/>
    </row>
    <row r="434" spans="2:2">
      <c r="B434" s="66"/>
    </row>
    <row r="435" spans="2:2">
      <c r="B435" s="66"/>
    </row>
    <row r="436" spans="2:2">
      <c r="B436" s="66"/>
    </row>
    <row r="437" spans="2:2">
      <c r="B437" s="66"/>
    </row>
    <row r="438" spans="2:2">
      <c r="B438" s="66"/>
    </row>
    <row r="439" spans="2:2">
      <c r="B439" s="66"/>
    </row>
    <row r="440" spans="2:2">
      <c r="B440" s="66"/>
    </row>
    <row r="441" spans="2:2">
      <c r="B441" s="66"/>
    </row>
    <row r="442" spans="2:2">
      <c r="B442" s="66"/>
    </row>
    <row r="443" spans="2:2">
      <c r="B443" s="66"/>
    </row>
    <row r="444" spans="2:2">
      <c r="B444" s="66"/>
    </row>
    <row r="445" spans="2:2">
      <c r="B445" s="66"/>
    </row>
    <row r="446" spans="2:2">
      <c r="B446" s="66"/>
    </row>
    <row r="447" spans="2:2">
      <c r="B447" s="66"/>
    </row>
    <row r="448" spans="2:2">
      <c r="B448" s="66"/>
    </row>
    <row r="449" spans="2:2">
      <c r="B449" s="66"/>
    </row>
    <row r="450" spans="2:2">
      <c r="B450" s="66"/>
    </row>
    <row r="451" spans="2:2">
      <c r="B451" s="66"/>
    </row>
    <row r="452" spans="2:2">
      <c r="B452" s="66"/>
    </row>
    <row r="453" spans="2:2">
      <c r="B453" s="66"/>
    </row>
    <row r="454" spans="2:2">
      <c r="B454" s="66"/>
    </row>
    <row r="455" spans="2:2">
      <c r="B455" s="66"/>
    </row>
    <row r="456" spans="2:2">
      <c r="B456" s="66"/>
    </row>
    <row r="457" spans="2:2">
      <c r="B457" s="66"/>
    </row>
    <row r="458" spans="2:2">
      <c r="B458" s="66"/>
    </row>
    <row r="459" spans="2:2">
      <c r="B459" s="66"/>
    </row>
    <row r="460" spans="2:2">
      <c r="B460" s="66"/>
    </row>
    <row r="461" spans="2:2">
      <c r="B461" s="66"/>
    </row>
    <row r="462" spans="2:2">
      <c r="B462" s="66"/>
    </row>
    <row r="463" spans="2:2">
      <c r="B463" s="66"/>
    </row>
    <row r="464" spans="2:2">
      <c r="B464" s="66"/>
    </row>
    <row r="465" spans="2:2">
      <c r="B465" s="66"/>
    </row>
    <row r="466" spans="2:2">
      <c r="B466" s="66"/>
    </row>
    <row r="467" spans="2:2">
      <c r="B467" s="66"/>
    </row>
    <row r="468" spans="2:2">
      <c r="B468" s="66"/>
    </row>
    <row r="469" spans="2:2">
      <c r="B469" s="66"/>
    </row>
    <row r="470" spans="2:2">
      <c r="B470" s="66"/>
    </row>
    <row r="471" spans="2:2">
      <c r="B471" s="66"/>
    </row>
    <row r="472" spans="2:2">
      <c r="B472" s="66"/>
    </row>
    <row r="473" spans="2:2">
      <c r="B473" s="66"/>
    </row>
    <row r="474" spans="2:2">
      <c r="B474" s="66"/>
    </row>
    <row r="475" spans="2:2">
      <c r="B475" s="66"/>
    </row>
    <row r="476" spans="2:2">
      <c r="B476" s="66"/>
    </row>
    <row r="477" spans="2:2">
      <c r="B477" s="66"/>
    </row>
    <row r="478" spans="2:2">
      <c r="B478" s="66"/>
    </row>
    <row r="479" spans="2:2">
      <c r="B479" s="66"/>
    </row>
    <row r="480" spans="2:2">
      <c r="B480" s="66"/>
    </row>
    <row r="481" spans="2:2">
      <c r="B481" s="66"/>
    </row>
    <row r="482" spans="2:2">
      <c r="B482" s="66"/>
    </row>
    <row r="483" spans="2:2">
      <c r="B483" s="66"/>
    </row>
    <row r="484" spans="2:2">
      <c r="B484" s="66"/>
    </row>
    <row r="485" spans="2:2">
      <c r="B485" s="66"/>
    </row>
    <row r="486" spans="2:2">
      <c r="B486" s="66"/>
    </row>
    <row r="487" spans="2:2">
      <c r="B487" s="66"/>
    </row>
    <row r="488" spans="2:2">
      <c r="B488" s="66"/>
    </row>
    <row r="489" spans="2:2">
      <c r="B489" s="66"/>
    </row>
    <row r="490" spans="2:2">
      <c r="B490" s="66"/>
    </row>
    <row r="491" spans="2:2">
      <c r="B491" s="66"/>
    </row>
    <row r="492" spans="2:2">
      <c r="B492" s="66"/>
    </row>
    <row r="493" spans="2:2">
      <c r="B493" s="66"/>
    </row>
    <row r="494" spans="2:2">
      <c r="B494" s="66"/>
    </row>
    <row r="495" spans="2:2">
      <c r="B495" s="66"/>
    </row>
    <row r="496" spans="2:2">
      <c r="B496" s="66"/>
    </row>
    <row r="497" spans="2:2">
      <c r="B497" s="66"/>
    </row>
    <row r="498" spans="2:2">
      <c r="B498" s="66"/>
    </row>
    <row r="499" spans="2:2">
      <c r="B499" s="66"/>
    </row>
    <row r="500" spans="2:2">
      <c r="B500" s="66"/>
    </row>
    <row r="501" spans="2:2">
      <c r="B501" s="66"/>
    </row>
    <row r="502" spans="2:2">
      <c r="B502" s="66"/>
    </row>
    <row r="503" spans="2:2">
      <c r="B503" s="66"/>
    </row>
    <row r="504" spans="2:2">
      <c r="B504" s="66"/>
    </row>
    <row r="505" spans="2:2">
      <c r="B505" s="66"/>
    </row>
    <row r="506" spans="2:2">
      <c r="B506" s="66"/>
    </row>
    <row r="507" spans="2:2">
      <c r="B507" s="66"/>
    </row>
    <row r="508" spans="2:2">
      <c r="B508" s="66"/>
    </row>
    <row r="509" spans="2:2">
      <c r="B509" s="66"/>
    </row>
    <row r="510" spans="2:2">
      <c r="B510" s="66"/>
    </row>
    <row r="511" spans="2:2">
      <c r="B511" s="66"/>
    </row>
    <row r="512" spans="2:2">
      <c r="B512" s="66"/>
    </row>
    <row r="513" spans="2:2">
      <c r="B513" s="66"/>
    </row>
    <row r="514" spans="2:2">
      <c r="B514" s="66"/>
    </row>
    <row r="515" spans="2:2">
      <c r="B515" s="66"/>
    </row>
    <row r="516" spans="2:2">
      <c r="B516" s="66"/>
    </row>
    <row r="517" spans="2:2">
      <c r="B517" s="66"/>
    </row>
    <row r="518" spans="2:2">
      <c r="B518" s="66"/>
    </row>
    <row r="519" spans="2:2">
      <c r="B519" s="66"/>
    </row>
    <row r="520" spans="2:2">
      <c r="B520" s="66"/>
    </row>
    <row r="521" spans="2:2">
      <c r="B521" s="66"/>
    </row>
    <row r="522" spans="2:2">
      <c r="B522" s="66"/>
    </row>
    <row r="523" spans="2:2">
      <c r="B523" s="66"/>
    </row>
    <row r="524" spans="2:2">
      <c r="B524" s="66"/>
    </row>
    <row r="525" spans="2:2">
      <c r="B525" s="66"/>
    </row>
    <row r="526" spans="2:2">
      <c r="B526" s="66"/>
    </row>
    <row r="527" spans="2:2">
      <c r="B527" s="66"/>
    </row>
    <row r="528" spans="2:2">
      <c r="B528" s="66"/>
    </row>
    <row r="529" spans="2:2">
      <c r="B529" s="66"/>
    </row>
    <row r="530" spans="2:2">
      <c r="B530" s="66"/>
    </row>
    <row r="531" spans="2:2">
      <c r="B531" s="66"/>
    </row>
    <row r="532" spans="2:2">
      <c r="B532" s="66"/>
    </row>
    <row r="533" spans="2:2">
      <c r="B533" s="66"/>
    </row>
    <row r="534" spans="2:2">
      <c r="B534" s="66"/>
    </row>
    <row r="535" spans="2:2">
      <c r="B535" s="66"/>
    </row>
    <row r="536" spans="2:2">
      <c r="B536" s="66"/>
    </row>
    <row r="537" spans="2:2">
      <c r="B537" s="66"/>
    </row>
    <row r="538" spans="2:2">
      <c r="B538" s="66"/>
    </row>
    <row r="539" spans="2:2">
      <c r="B539" s="66"/>
    </row>
    <row r="540" spans="2:2">
      <c r="B540" s="66"/>
    </row>
    <row r="541" spans="2:2">
      <c r="B541" s="66"/>
    </row>
    <row r="542" spans="2:2">
      <c r="B542" s="66"/>
    </row>
    <row r="543" spans="2:2">
      <c r="B543" s="66"/>
    </row>
    <row r="544" spans="2:2">
      <c r="B544" s="66"/>
    </row>
    <row r="545" spans="2:2">
      <c r="B545" s="66"/>
    </row>
    <row r="546" spans="2:2">
      <c r="B546" s="66"/>
    </row>
    <row r="547" spans="2:2">
      <c r="B547" s="66"/>
    </row>
    <row r="548" spans="2:2">
      <c r="B548" s="66"/>
    </row>
    <row r="549" spans="2:2">
      <c r="B549" s="66"/>
    </row>
    <row r="550" spans="2:2">
      <c r="B550" s="66"/>
    </row>
    <row r="551" spans="2:2">
      <c r="B551" s="66"/>
    </row>
    <row r="552" spans="2:2">
      <c r="B552" s="66"/>
    </row>
    <row r="553" spans="2:2">
      <c r="B553" s="66"/>
    </row>
    <row r="554" spans="2:2">
      <c r="B554" s="66"/>
    </row>
    <row r="555" spans="2:2">
      <c r="B555" s="66"/>
    </row>
    <row r="556" spans="2:2">
      <c r="B556" s="66"/>
    </row>
    <row r="557" spans="2:2">
      <c r="B557" s="66"/>
    </row>
    <row r="558" spans="2:2">
      <c r="B558" s="66"/>
    </row>
    <row r="559" spans="2:2">
      <c r="B559" s="66"/>
    </row>
    <row r="560" spans="2:2">
      <c r="B560" s="66"/>
    </row>
    <row r="561" spans="2:2">
      <c r="B561" s="66"/>
    </row>
    <row r="562" spans="2:2">
      <c r="B562" s="66"/>
    </row>
    <row r="563" spans="2:2">
      <c r="B563" s="66"/>
    </row>
    <row r="564" spans="2:2">
      <c r="B564" s="66"/>
    </row>
    <row r="565" spans="2:2">
      <c r="B565" s="66"/>
    </row>
    <row r="566" spans="2:2">
      <c r="B566" s="66"/>
    </row>
    <row r="567" spans="2:2">
      <c r="B567" s="66"/>
    </row>
    <row r="568" spans="2:2">
      <c r="B568" s="66"/>
    </row>
    <row r="569" spans="2:2">
      <c r="B569" s="66"/>
    </row>
    <row r="570" spans="2:2">
      <c r="B570" s="66"/>
    </row>
    <row r="571" spans="2:2">
      <c r="B571" s="66"/>
    </row>
    <row r="572" spans="2:2">
      <c r="B572" s="66"/>
    </row>
    <row r="573" spans="2:2">
      <c r="B573" s="66"/>
    </row>
    <row r="574" spans="2:2">
      <c r="B574" s="66"/>
    </row>
    <row r="575" spans="2:2">
      <c r="B575" s="66"/>
    </row>
    <row r="576" spans="2:2">
      <c r="B576" s="66"/>
    </row>
    <row r="577" spans="2:2">
      <c r="B577" s="66"/>
    </row>
    <row r="578" spans="2:2">
      <c r="B578" s="66"/>
    </row>
    <row r="579" spans="2:2">
      <c r="B579" s="66"/>
    </row>
    <row r="580" spans="2:2">
      <c r="B580" s="66"/>
    </row>
    <row r="581" spans="2:2">
      <c r="B581" s="66"/>
    </row>
    <row r="582" spans="2:2">
      <c r="B582" s="66"/>
    </row>
    <row r="583" spans="2:2">
      <c r="B583" s="66"/>
    </row>
    <row r="584" spans="2:2">
      <c r="B584" s="66"/>
    </row>
    <row r="585" spans="2:2">
      <c r="B585" s="66"/>
    </row>
    <row r="586" spans="2:2">
      <c r="B586" s="66"/>
    </row>
    <row r="587" spans="2:2">
      <c r="B587" s="66"/>
    </row>
    <row r="588" spans="2:2">
      <c r="B588" s="66"/>
    </row>
    <row r="589" spans="2:2">
      <c r="B589" s="66"/>
    </row>
    <row r="590" spans="2:2">
      <c r="B590" s="66"/>
    </row>
    <row r="591" spans="2:2">
      <c r="B591" s="66"/>
    </row>
    <row r="592" spans="2:2">
      <c r="B592" s="66"/>
    </row>
    <row r="593" spans="2:2">
      <c r="B593" s="66"/>
    </row>
    <row r="594" spans="2:2">
      <c r="B594" s="66"/>
    </row>
    <row r="595" spans="2:2">
      <c r="B595" s="66"/>
    </row>
    <row r="596" spans="2:2">
      <c r="B596" s="66"/>
    </row>
    <row r="597" spans="2:2">
      <c r="B597" s="66"/>
    </row>
    <row r="598" spans="2:2">
      <c r="B598" s="66"/>
    </row>
    <row r="599" spans="2:2">
      <c r="B599" s="66"/>
    </row>
    <row r="600" spans="2:2">
      <c r="B600" s="66"/>
    </row>
    <row r="601" spans="2:2">
      <c r="B601" s="66"/>
    </row>
    <row r="602" spans="2:2">
      <c r="B602" s="66"/>
    </row>
    <row r="603" spans="2:2">
      <c r="B603" s="66"/>
    </row>
    <row r="604" spans="2:2">
      <c r="B604" s="66"/>
    </row>
    <row r="605" spans="2:2">
      <c r="B605" s="66"/>
    </row>
    <row r="606" spans="2:2">
      <c r="B606" s="66"/>
    </row>
    <row r="607" spans="2:2">
      <c r="B607" s="66"/>
    </row>
    <row r="608" spans="2:2">
      <c r="B608" s="66"/>
    </row>
    <row r="609" spans="2:2">
      <c r="B609" s="66"/>
    </row>
    <row r="610" spans="2:2">
      <c r="B610" s="66"/>
    </row>
    <row r="611" spans="2:2">
      <c r="B611" s="66"/>
    </row>
    <row r="612" spans="2:2">
      <c r="B612" s="66"/>
    </row>
    <row r="613" spans="2:2">
      <c r="B613" s="66"/>
    </row>
    <row r="614" spans="2:2">
      <c r="B614" s="66"/>
    </row>
    <row r="615" spans="2:2">
      <c r="B615" s="66"/>
    </row>
    <row r="616" spans="2:2">
      <c r="B616" s="66"/>
    </row>
    <row r="617" spans="2:2">
      <c r="B617" s="66"/>
    </row>
    <row r="618" spans="2:2">
      <c r="B618" s="66"/>
    </row>
    <row r="619" spans="2:2">
      <c r="B619" s="66"/>
    </row>
    <row r="620" spans="2:2">
      <c r="B620" s="66"/>
    </row>
    <row r="621" spans="2:2">
      <c r="B621" s="66"/>
    </row>
    <row r="622" spans="2:2">
      <c r="B622" s="66"/>
    </row>
    <row r="623" spans="2:2">
      <c r="B623" s="66"/>
    </row>
    <row r="624" spans="2:2">
      <c r="B624" s="66"/>
    </row>
    <row r="625" spans="2:2">
      <c r="B625" s="66"/>
    </row>
    <row r="626" spans="2:2">
      <c r="B626" s="66"/>
    </row>
    <row r="627" spans="2:2">
      <c r="B627" s="66"/>
    </row>
    <row r="628" spans="2:2">
      <c r="B628" s="66"/>
    </row>
    <row r="629" spans="2:2">
      <c r="B629" s="66"/>
    </row>
    <row r="630" spans="2:2">
      <c r="B630" s="66"/>
    </row>
    <row r="631" spans="2:2">
      <c r="B631" s="66"/>
    </row>
    <row r="632" spans="2:2">
      <c r="B632" s="66"/>
    </row>
    <row r="633" spans="2:2">
      <c r="B633" s="66"/>
    </row>
    <row r="634" spans="2:2">
      <c r="B634" s="66"/>
    </row>
    <row r="635" spans="2:2">
      <c r="B635" s="66"/>
    </row>
    <row r="636" spans="2:2">
      <c r="B636" s="66"/>
    </row>
    <row r="637" spans="2:2">
      <c r="B637" s="66"/>
    </row>
    <row r="638" spans="2:2">
      <c r="B638" s="66"/>
    </row>
    <row r="639" spans="2:2">
      <c r="B639" s="66"/>
    </row>
    <row r="640" spans="2:2">
      <c r="B640" s="66"/>
    </row>
    <row r="641" spans="2:2">
      <c r="B641" s="66"/>
    </row>
    <row r="642" spans="2:2">
      <c r="B642" s="66"/>
    </row>
    <row r="643" spans="2:2">
      <c r="B643" s="66"/>
    </row>
    <row r="644" spans="2:2">
      <c r="B644" s="66"/>
    </row>
    <row r="645" spans="2:2">
      <c r="B645" s="66"/>
    </row>
    <row r="646" spans="2:2">
      <c r="B646" s="66"/>
    </row>
    <row r="647" spans="2:2">
      <c r="B647" s="66"/>
    </row>
    <row r="648" spans="2:2">
      <c r="B648" s="66"/>
    </row>
    <row r="649" spans="2:2">
      <c r="B649" s="66"/>
    </row>
    <row r="650" spans="2:2">
      <c r="B650" s="66"/>
    </row>
    <row r="651" spans="2:2">
      <c r="B651" s="66"/>
    </row>
    <row r="652" spans="2:2">
      <c r="B652" s="66"/>
    </row>
    <row r="653" spans="2:2">
      <c r="B653" s="66"/>
    </row>
    <row r="654" spans="2:2">
      <c r="B654" s="66"/>
    </row>
    <row r="655" spans="2:2">
      <c r="B655" s="66"/>
    </row>
    <row r="656" spans="2:2">
      <c r="B656" s="66"/>
    </row>
    <row r="657" spans="2:2">
      <c r="B657" s="66"/>
    </row>
    <row r="658" spans="2:2">
      <c r="B658" s="66"/>
    </row>
    <row r="659" spans="2:2">
      <c r="B659" s="66"/>
    </row>
    <row r="660" spans="2:2">
      <c r="B660" s="66"/>
    </row>
    <row r="661" spans="2:2">
      <c r="B661" s="66"/>
    </row>
    <row r="662" spans="2:2">
      <c r="B662" s="66"/>
    </row>
    <row r="663" spans="2:2">
      <c r="B663" s="66"/>
    </row>
    <row r="664" spans="2:2">
      <c r="B664" s="66"/>
    </row>
    <row r="665" spans="2:2">
      <c r="B665" s="66"/>
    </row>
    <row r="666" spans="2:2">
      <c r="B666" s="66"/>
    </row>
    <row r="667" spans="2:2">
      <c r="B667" s="66"/>
    </row>
    <row r="668" spans="2:2">
      <c r="B668" s="66"/>
    </row>
    <row r="669" spans="2:2">
      <c r="B669" s="66"/>
    </row>
    <row r="670" spans="2:2">
      <c r="B670" s="66"/>
    </row>
    <row r="671" spans="2:2">
      <c r="B671" s="66"/>
    </row>
    <row r="672" spans="2:2">
      <c r="B672" s="66"/>
    </row>
    <row r="673" spans="2:2">
      <c r="B673" s="66"/>
    </row>
    <row r="674" spans="2:2">
      <c r="B674" s="66"/>
    </row>
    <row r="675" spans="2:2">
      <c r="B675" s="66"/>
    </row>
    <row r="676" spans="2:2">
      <c r="B676" s="66"/>
    </row>
    <row r="677" spans="2:2">
      <c r="B677" s="66"/>
    </row>
    <row r="678" spans="2:2">
      <c r="B678" s="66"/>
    </row>
    <row r="679" spans="2:2">
      <c r="B679" s="66"/>
    </row>
    <row r="680" spans="2:2">
      <c r="B680" s="66"/>
    </row>
    <row r="681" spans="2:2">
      <c r="B681" s="66"/>
    </row>
    <row r="682" spans="2:2">
      <c r="B682" s="66"/>
    </row>
    <row r="683" spans="2:2">
      <c r="B683" s="66"/>
    </row>
    <row r="684" spans="2:2">
      <c r="B684" s="66"/>
    </row>
    <row r="685" spans="2:2">
      <c r="B685" s="66"/>
    </row>
    <row r="686" spans="2:2">
      <c r="B686" s="66"/>
    </row>
    <row r="687" spans="2:2">
      <c r="B687" s="66"/>
    </row>
    <row r="688" spans="2:2">
      <c r="B688" s="66"/>
    </row>
    <row r="689" spans="2:2">
      <c r="B689" s="66"/>
    </row>
    <row r="690" spans="2:2">
      <c r="B690" s="66"/>
    </row>
    <row r="691" spans="2:2">
      <c r="B691" s="66"/>
    </row>
    <row r="692" spans="2:2">
      <c r="B692" s="66"/>
    </row>
    <row r="693" spans="2:2">
      <c r="B693" s="66"/>
    </row>
    <row r="694" spans="2:2">
      <c r="B694" s="66"/>
    </row>
    <row r="695" spans="2:2">
      <c r="B695" s="66"/>
    </row>
    <row r="696" spans="2:2">
      <c r="B696" s="66"/>
    </row>
    <row r="697" spans="2:2">
      <c r="B697" s="66"/>
    </row>
    <row r="698" spans="2:2">
      <c r="B698" s="66"/>
    </row>
    <row r="699" spans="2:2">
      <c r="B699" s="66"/>
    </row>
    <row r="700" spans="2:2">
      <c r="B700" s="66"/>
    </row>
    <row r="701" spans="2:2">
      <c r="B701" s="66"/>
    </row>
    <row r="702" spans="2:2">
      <c r="B702" s="66"/>
    </row>
    <row r="703" spans="2:2">
      <c r="B703" s="66"/>
    </row>
    <row r="704" spans="2:2">
      <c r="B704" s="66"/>
    </row>
    <row r="705" spans="2:2">
      <c r="B705" s="66"/>
    </row>
    <row r="706" spans="2:2">
      <c r="B706" s="66"/>
    </row>
    <row r="707" spans="2:2">
      <c r="B707" s="66"/>
    </row>
    <row r="708" spans="2:2">
      <c r="B708" s="66"/>
    </row>
    <row r="709" spans="2:2">
      <c r="B709" s="66"/>
    </row>
    <row r="710" spans="2:2">
      <c r="B710" s="66"/>
    </row>
    <row r="711" spans="2:2">
      <c r="B711" s="66"/>
    </row>
    <row r="712" spans="2:2">
      <c r="B712" s="66"/>
    </row>
    <row r="713" spans="2:2">
      <c r="B713" s="66"/>
    </row>
    <row r="714" spans="2:2">
      <c r="B714" s="66"/>
    </row>
    <row r="715" spans="2:2">
      <c r="B715" s="66"/>
    </row>
    <row r="716" spans="2:2">
      <c r="B716" s="66"/>
    </row>
    <row r="717" spans="2:2">
      <c r="B717" s="66"/>
    </row>
    <row r="718" spans="2:2">
      <c r="B718" s="66"/>
    </row>
    <row r="719" spans="2:2">
      <c r="B719" s="66"/>
    </row>
    <row r="720" spans="2:2">
      <c r="B720" s="66"/>
    </row>
    <row r="721" spans="2:2">
      <c r="B721" s="66"/>
    </row>
    <row r="722" spans="2:2">
      <c r="B722" s="66"/>
    </row>
    <row r="723" spans="2:2">
      <c r="B723" s="66"/>
    </row>
    <row r="724" spans="2:2">
      <c r="B724" s="66"/>
    </row>
    <row r="725" spans="2:2">
      <c r="B725" s="66"/>
    </row>
    <row r="726" spans="2:2">
      <c r="B726" s="66"/>
    </row>
    <row r="727" spans="2:2">
      <c r="B727" s="66"/>
    </row>
    <row r="728" spans="2:2">
      <c r="B728" s="66"/>
    </row>
    <row r="729" spans="2:2">
      <c r="B729" s="66"/>
    </row>
    <row r="730" spans="2:2">
      <c r="B730" s="66"/>
    </row>
    <row r="731" spans="2:2">
      <c r="B731" s="66"/>
    </row>
    <row r="732" spans="2:2">
      <c r="B732" s="66"/>
    </row>
    <row r="733" spans="2:2">
      <c r="B733" s="66"/>
    </row>
    <row r="734" spans="2:2">
      <c r="B734" s="66"/>
    </row>
    <row r="735" spans="2:2">
      <c r="B735" s="66"/>
    </row>
    <row r="736" spans="2:2">
      <c r="B736" s="66"/>
    </row>
    <row r="737" spans="2:2">
      <c r="B737" s="66"/>
    </row>
    <row r="738" spans="2:2">
      <c r="B738" s="66"/>
    </row>
    <row r="739" spans="2:2">
      <c r="B739" s="66"/>
    </row>
    <row r="740" spans="2:2">
      <c r="B740" s="66"/>
    </row>
    <row r="741" spans="2:2">
      <c r="B741" s="66"/>
    </row>
    <row r="742" spans="2:2">
      <c r="B742" s="66"/>
    </row>
    <row r="743" spans="2:2">
      <c r="B743" s="66"/>
    </row>
    <row r="744" spans="2:2">
      <c r="B744" s="66"/>
    </row>
    <row r="745" spans="2:2">
      <c r="B745" s="66"/>
    </row>
    <row r="746" spans="2:2">
      <c r="B746" s="66"/>
    </row>
    <row r="747" spans="2:2">
      <c r="B747" s="66"/>
    </row>
    <row r="748" spans="2:2">
      <c r="B748" s="66"/>
    </row>
    <row r="749" spans="2:2">
      <c r="B749" s="66"/>
    </row>
    <row r="750" spans="2:2">
      <c r="B750" s="66"/>
    </row>
    <row r="751" spans="2:2">
      <c r="B751" s="66"/>
    </row>
    <row r="752" spans="2:2">
      <c r="B752" s="66"/>
    </row>
    <row r="753" spans="2:2">
      <c r="B753" s="66"/>
    </row>
    <row r="754" spans="2:2">
      <c r="B754" s="66"/>
    </row>
    <row r="755" spans="2:2">
      <c r="B755" s="66"/>
    </row>
    <row r="756" spans="2:2">
      <c r="B756" s="66"/>
    </row>
    <row r="757" spans="2:2">
      <c r="B757" s="66"/>
    </row>
    <row r="758" spans="2:2">
      <c r="B758" s="66"/>
    </row>
    <row r="759" spans="2:2">
      <c r="B759" s="66"/>
    </row>
    <row r="760" spans="2:2">
      <c r="B760" s="66"/>
    </row>
    <row r="761" spans="2:2">
      <c r="B761" s="66"/>
    </row>
    <row r="762" spans="2:2">
      <c r="B762" s="66"/>
    </row>
    <row r="763" spans="2:2">
      <c r="B763" s="66"/>
    </row>
    <row r="764" spans="2:2">
      <c r="B764" s="66"/>
    </row>
    <row r="765" spans="2:2">
      <c r="B765" s="66"/>
    </row>
    <row r="766" spans="2:2">
      <c r="B766" s="66"/>
    </row>
    <row r="767" spans="2:2">
      <c r="B767" s="66"/>
    </row>
    <row r="768" spans="2:2">
      <c r="B768" s="66"/>
    </row>
    <row r="769" spans="2:2">
      <c r="B769" s="66"/>
    </row>
    <row r="770" spans="2:2">
      <c r="B770" s="66"/>
    </row>
    <row r="771" spans="2:2">
      <c r="B771" s="66"/>
    </row>
    <row r="772" spans="2:2">
      <c r="B772" s="66"/>
    </row>
    <row r="773" spans="2:2">
      <c r="B773" s="66"/>
    </row>
    <row r="774" spans="2:2">
      <c r="B774" s="66"/>
    </row>
    <row r="775" spans="2:2">
      <c r="B775" s="66"/>
    </row>
    <row r="776" spans="2:2">
      <c r="B776" s="66"/>
    </row>
    <row r="777" spans="2:2">
      <c r="B777" s="66"/>
    </row>
    <row r="778" spans="2:2">
      <c r="B778" s="66"/>
    </row>
    <row r="779" spans="2:2">
      <c r="B779" s="66"/>
    </row>
    <row r="780" spans="2:2">
      <c r="B780" s="66"/>
    </row>
    <row r="781" spans="2:2">
      <c r="B781" s="66"/>
    </row>
    <row r="782" spans="2:2">
      <c r="B782" s="66"/>
    </row>
    <row r="783" spans="2:2">
      <c r="B783" s="66"/>
    </row>
    <row r="784" spans="2:2">
      <c r="B784" s="66"/>
    </row>
    <row r="785" spans="2:2">
      <c r="B785" s="66"/>
    </row>
    <row r="786" spans="2:2">
      <c r="B786" s="66"/>
    </row>
    <row r="787" spans="2:2">
      <c r="B787" s="66"/>
    </row>
    <row r="788" spans="2:2">
      <c r="B788" s="66"/>
    </row>
    <row r="789" spans="2:2">
      <c r="B789" s="66"/>
    </row>
    <row r="790" spans="2:2">
      <c r="B790" s="66"/>
    </row>
    <row r="791" spans="2:2">
      <c r="B791" s="66"/>
    </row>
    <row r="792" spans="2:2">
      <c r="B792" s="66"/>
    </row>
    <row r="793" spans="2:2">
      <c r="B793" s="66"/>
    </row>
    <row r="794" spans="2:2">
      <c r="B794" s="66"/>
    </row>
    <row r="795" spans="2:2">
      <c r="B795" s="66"/>
    </row>
    <row r="796" spans="2:2">
      <c r="B796" s="66"/>
    </row>
    <row r="797" spans="2:2">
      <c r="B797" s="66"/>
    </row>
    <row r="798" spans="2:2">
      <c r="B798" s="66"/>
    </row>
    <row r="799" spans="2:2">
      <c r="B799" s="66"/>
    </row>
    <row r="800" spans="2:2">
      <c r="B800" s="66"/>
    </row>
    <row r="801" spans="2:2">
      <c r="B801" s="66"/>
    </row>
    <row r="802" spans="2:2">
      <c r="B802" s="66"/>
    </row>
    <row r="803" spans="2:2">
      <c r="B803" s="66"/>
    </row>
    <row r="804" spans="2:2">
      <c r="B804" s="66"/>
    </row>
    <row r="805" spans="2:2">
      <c r="B805" s="66"/>
    </row>
    <row r="806" spans="2:2">
      <c r="B806" s="66"/>
    </row>
    <row r="807" spans="2:2">
      <c r="B807" s="66"/>
    </row>
    <row r="808" spans="2:2">
      <c r="B808" s="66"/>
    </row>
    <row r="809" spans="2:2">
      <c r="B809" s="66"/>
    </row>
    <row r="810" spans="2:2">
      <c r="B810" s="66"/>
    </row>
    <row r="811" spans="2:2">
      <c r="B811" s="66"/>
    </row>
    <row r="812" spans="2:2">
      <c r="B812" s="66"/>
    </row>
    <row r="813" spans="2:2">
      <c r="B813" s="66"/>
    </row>
    <row r="814" spans="2:2">
      <c r="B814" s="66"/>
    </row>
    <row r="815" spans="2:2">
      <c r="B815" s="66"/>
    </row>
    <row r="816" spans="2:2">
      <c r="B816" s="66"/>
    </row>
    <row r="817" spans="2:2">
      <c r="B817" s="66"/>
    </row>
    <row r="818" spans="2:2">
      <c r="B818" s="66"/>
    </row>
    <row r="819" spans="2:2">
      <c r="B819" s="66"/>
    </row>
    <row r="820" spans="2:2">
      <c r="B820" s="66"/>
    </row>
    <row r="821" spans="2:2">
      <c r="B821" s="66"/>
    </row>
    <row r="822" spans="2:2">
      <c r="B822" s="66"/>
    </row>
    <row r="823" spans="2:2">
      <c r="B823" s="66"/>
    </row>
    <row r="824" spans="2:2">
      <c r="B824" s="66"/>
    </row>
    <row r="825" spans="2:2">
      <c r="B825" s="66"/>
    </row>
    <row r="826" spans="2:2">
      <c r="B826" s="66"/>
    </row>
    <row r="827" spans="2:2">
      <c r="B827" s="66"/>
    </row>
    <row r="828" spans="2:2">
      <c r="B828" s="66"/>
    </row>
    <row r="829" spans="2:2">
      <c r="B829" s="66"/>
    </row>
    <row r="830" spans="2:2">
      <c r="B830" s="66"/>
    </row>
    <row r="831" spans="2:2">
      <c r="B831" s="66"/>
    </row>
    <row r="832" spans="2:2">
      <c r="B832" s="66"/>
    </row>
    <row r="833" spans="2:2">
      <c r="B833" s="66"/>
    </row>
    <row r="834" spans="2:2">
      <c r="B834" s="66"/>
    </row>
    <row r="835" spans="2:2">
      <c r="B835" s="66"/>
    </row>
    <row r="836" spans="2:2">
      <c r="B836" s="66"/>
    </row>
    <row r="837" spans="2:2">
      <c r="B837" s="66"/>
    </row>
    <row r="838" spans="2:2">
      <c r="B838" s="66"/>
    </row>
    <row r="839" spans="2:2">
      <c r="B839" s="66"/>
    </row>
    <row r="840" spans="2:2">
      <c r="B840" s="66"/>
    </row>
    <row r="841" spans="2:2">
      <c r="B841" s="66"/>
    </row>
    <row r="842" spans="2:2">
      <c r="B842" s="66"/>
    </row>
    <row r="843" spans="2:2">
      <c r="B843" s="66"/>
    </row>
    <row r="844" spans="2:2">
      <c r="B844" s="66"/>
    </row>
    <row r="845" spans="2:2">
      <c r="B845" s="66"/>
    </row>
    <row r="846" spans="2:2">
      <c r="B846" s="66"/>
    </row>
    <row r="847" spans="2:2">
      <c r="B847" s="66"/>
    </row>
    <row r="848" spans="2:2">
      <c r="B848" s="66"/>
    </row>
    <row r="849" spans="2:2">
      <c r="B849" s="66"/>
    </row>
    <row r="850" spans="2:2">
      <c r="B850" s="66"/>
    </row>
    <row r="851" spans="2:2">
      <c r="B851" s="66"/>
    </row>
    <row r="852" spans="2:2">
      <c r="B852" s="66"/>
    </row>
    <row r="853" spans="2:2">
      <c r="B853" s="66"/>
    </row>
    <row r="854" spans="2:2">
      <c r="B854" s="66"/>
    </row>
    <row r="855" spans="2:2">
      <c r="B855" s="66"/>
    </row>
    <row r="856" spans="2:2">
      <c r="B856" s="66"/>
    </row>
    <row r="857" spans="2:2">
      <c r="B857" s="66"/>
    </row>
    <row r="858" spans="2:2">
      <c r="B858" s="66"/>
    </row>
    <row r="859" spans="2:2">
      <c r="B859" s="66"/>
    </row>
    <row r="860" spans="2:2">
      <c r="B860" s="66"/>
    </row>
    <row r="861" spans="2:2">
      <c r="B861" s="66"/>
    </row>
    <row r="862" spans="2:2">
      <c r="B862" s="66"/>
    </row>
    <row r="863" spans="2:2">
      <c r="B863" s="66"/>
    </row>
    <row r="864" spans="2:2">
      <c r="B864" s="66"/>
    </row>
    <row r="865" spans="2:2">
      <c r="B865" s="66"/>
    </row>
    <row r="866" spans="2:2">
      <c r="B866" s="66"/>
    </row>
    <row r="867" spans="2:2">
      <c r="B867" s="66"/>
    </row>
    <row r="868" spans="2:2">
      <c r="B868" s="66"/>
    </row>
    <row r="869" spans="2:2">
      <c r="B869" s="66"/>
    </row>
    <row r="870" spans="2:2">
      <c r="B870" s="66"/>
    </row>
    <row r="871" spans="2:2">
      <c r="B871" s="66"/>
    </row>
    <row r="872" spans="2:2">
      <c r="B872" s="66"/>
    </row>
    <row r="873" spans="2:2">
      <c r="B873" s="66"/>
    </row>
    <row r="874" spans="2:2">
      <c r="B874" s="66"/>
    </row>
    <row r="875" spans="2:2">
      <c r="B875" s="66"/>
    </row>
    <row r="876" spans="2:2">
      <c r="B876" s="66"/>
    </row>
    <row r="877" spans="2:2">
      <c r="B877" s="66"/>
    </row>
    <row r="878" spans="2:2">
      <c r="B878" s="66"/>
    </row>
    <row r="879" spans="2:2">
      <c r="B879" s="66"/>
    </row>
    <row r="880" spans="2:2">
      <c r="B880" s="66"/>
    </row>
    <row r="881" spans="2:2">
      <c r="B881" s="66"/>
    </row>
    <row r="882" spans="2:2">
      <c r="B882" s="66"/>
    </row>
    <row r="883" spans="2:2">
      <c r="B883" s="66"/>
    </row>
    <row r="884" spans="2:2">
      <c r="B884" s="66"/>
    </row>
    <row r="885" spans="2:2">
      <c r="B885" s="66"/>
    </row>
    <row r="886" spans="2:2">
      <c r="B886" s="66"/>
    </row>
    <row r="887" spans="2:2">
      <c r="B887" s="66"/>
    </row>
    <row r="888" spans="2:2">
      <c r="B888" s="66"/>
    </row>
    <row r="889" spans="2:2">
      <c r="B889" s="66"/>
    </row>
    <row r="890" spans="2:2">
      <c r="B890" s="66"/>
    </row>
    <row r="891" spans="2:2">
      <c r="B891" s="66"/>
    </row>
    <row r="892" spans="2:2">
      <c r="B892" s="66"/>
    </row>
    <row r="893" spans="2:2">
      <c r="B893" s="66"/>
    </row>
    <row r="894" spans="2:2">
      <c r="B894" s="66"/>
    </row>
    <row r="895" spans="2:2">
      <c r="B895" s="66"/>
    </row>
    <row r="896" spans="2:2">
      <c r="B896" s="66"/>
    </row>
    <row r="897" spans="2:2">
      <c r="B897" s="66"/>
    </row>
    <row r="898" spans="2:2">
      <c r="B898" s="66"/>
    </row>
    <row r="899" spans="2:2">
      <c r="B899" s="66"/>
    </row>
    <row r="900" spans="2:2">
      <c r="B900" s="66"/>
    </row>
    <row r="901" spans="2:2">
      <c r="B901" s="66"/>
    </row>
    <row r="902" spans="2:2">
      <c r="B902" s="66"/>
    </row>
    <row r="903" spans="2:2">
      <c r="B903" s="66"/>
    </row>
    <row r="904" spans="2:2">
      <c r="B904" s="66"/>
    </row>
    <row r="905" spans="2:2">
      <c r="B905" s="66"/>
    </row>
    <row r="906" spans="2:2">
      <c r="B906" s="66"/>
    </row>
    <row r="907" spans="2:2">
      <c r="B907" s="66"/>
    </row>
    <row r="908" spans="2:2">
      <c r="B908" s="66"/>
    </row>
    <row r="909" spans="2:2">
      <c r="B909" s="66"/>
    </row>
    <row r="910" spans="2:2">
      <c r="B910" s="66"/>
    </row>
    <row r="911" spans="2:2">
      <c r="B911" s="66"/>
    </row>
    <row r="912" spans="2:2">
      <c r="B912" s="66"/>
    </row>
    <row r="913" spans="2:2">
      <c r="B913" s="66"/>
    </row>
    <row r="914" spans="2:2">
      <c r="B914" s="66"/>
    </row>
    <row r="915" spans="2:2">
      <c r="B915" s="66"/>
    </row>
    <row r="916" spans="2:2">
      <c r="B916" s="66"/>
    </row>
    <row r="917" spans="2:2">
      <c r="B917" s="66"/>
    </row>
    <row r="918" spans="2:2">
      <c r="B918" s="66"/>
    </row>
    <row r="919" spans="2:2">
      <c r="B919" s="66"/>
    </row>
    <row r="920" spans="2:2">
      <c r="B920" s="66"/>
    </row>
    <row r="921" spans="2:2">
      <c r="B921" s="66"/>
    </row>
    <row r="922" spans="2:2">
      <c r="B922" s="66"/>
    </row>
    <row r="923" spans="2:2">
      <c r="B923" s="66"/>
    </row>
    <row r="924" spans="2:2">
      <c r="B924" s="66"/>
    </row>
    <row r="925" spans="2:2">
      <c r="B925" s="66"/>
    </row>
    <row r="926" spans="2:2">
      <c r="B926" s="66"/>
    </row>
    <row r="927" spans="2:2">
      <c r="B927" s="66"/>
    </row>
    <row r="928" spans="2:2">
      <c r="B928" s="66"/>
    </row>
    <row r="929" spans="2:2">
      <c r="B929" s="66"/>
    </row>
    <row r="930" spans="2:2">
      <c r="B930" s="66"/>
    </row>
    <row r="931" spans="2:2">
      <c r="B931" s="66"/>
    </row>
    <row r="932" spans="2:2">
      <c r="B932" s="66"/>
    </row>
    <row r="933" spans="2:2">
      <c r="B933" s="66"/>
    </row>
    <row r="934" spans="2:2">
      <c r="B934" s="66"/>
    </row>
    <row r="935" spans="2:2">
      <c r="B935" s="66"/>
    </row>
    <row r="936" spans="2:2">
      <c r="B936" s="66"/>
    </row>
    <row r="937" spans="2:2">
      <c r="B937" s="66"/>
    </row>
    <row r="938" spans="2:2">
      <c r="B938" s="66"/>
    </row>
    <row r="939" spans="2:2">
      <c r="B939" s="66"/>
    </row>
    <row r="940" spans="2:2">
      <c r="B940" s="66"/>
    </row>
    <row r="941" spans="2:2">
      <c r="B941" s="66"/>
    </row>
    <row r="942" spans="2:2">
      <c r="B942" s="66"/>
    </row>
    <row r="943" spans="2:2">
      <c r="B943" s="66"/>
    </row>
    <row r="944" spans="2:2">
      <c r="B944" s="66"/>
    </row>
    <row r="945" spans="2:2">
      <c r="B945" s="66"/>
    </row>
    <row r="946" spans="2:2">
      <c r="B946" s="66"/>
    </row>
    <row r="947" spans="2:2">
      <c r="B947" s="66"/>
    </row>
    <row r="948" spans="2:2">
      <c r="B948" s="66"/>
    </row>
    <row r="949" spans="2:2">
      <c r="B949" s="66"/>
    </row>
    <row r="950" spans="2:2">
      <c r="B950" s="66"/>
    </row>
    <row r="951" spans="2:2">
      <c r="B951" s="66"/>
    </row>
    <row r="952" spans="2:2">
      <c r="B952" s="66"/>
    </row>
    <row r="953" spans="2:2">
      <c r="B953" s="66"/>
    </row>
    <row r="954" spans="2:2">
      <c r="B954" s="66"/>
    </row>
    <row r="955" spans="2:2">
      <c r="B955" s="66"/>
    </row>
    <row r="956" spans="2:2">
      <c r="B956" s="66"/>
    </row>
    <row r="957" spans="2:2">
      <c r="B957" s="66"/>
    </row>
    <row r="958" spans="2:2">
      <c r="B958" s="66"/>
    </row>
    <row r="959" spans="2:2">
      <c r="B959" s="66"/>
    </row>
    <row r="960" spans="2:2">
      <c r="B960" s="66"/>
    </row>
    <row r="961" spans="2:2">
      <c r="B961" s="66"/>
    </row>
    <row r="962" spans="2:2">
      <c r="B962" s="66"/>
    </row>
    <row r="963" spans="2:2">
      <c r="B963" s="66"/>
    </row>
    <row r="964" spans="2:2">
      <c r="B964" s="66"/>
    </row>
    <row r="965" spans="2:2">
      <c r="B965" s="66"/>
    </row>
    <row r="966" spans="2:2">
      <c r="B966" s="66"/>
    </row>
    <row r="967" spans="2:2">
      <c r="B967" s="66"/>
    </row>
    <row r="968" spans="2:2">
      <c r="B968" s="66"/>
    </row>
    <row r="969" spans="2:2">
      <c r="B969" s="66"/>
    </row>
    <row r="970" spans="2:2">
      <c r="B970" s="66"/>
    </row>
    <row r="971" spans="2:2">
      <c r="B971" s="66"/>
    </row>
    <row r="972" spans="2:2">
      <c r="B972" s="66"/>
    </row>
    <row r="973" spans="2:2">
      <c r="B973" s="66"/>
    </row>
    <row r="974" spans="2:2">
      <c r="B974" s="66"/>
    </row>
    <row r="975" spans="2:2">
      <c r="B975" s="66"/>
    </row>
    <row r="976" spans="2:2">
      <c r="B976" s="66"/>
    </row>
    <row r="977" spans="2:2">
      <c r="B977" s="66"/>
    </row>
    <row r="978" spans="2:2">
      <c r="B978" s="66"/>
    </row>
    <row r="979" spans="2:2">
      <c r="B979" s="66"/>
    </row>
    <row r="980" spans="2:2">
      <c r="B980" s="66"/>
    </row>
    <row r="981" spans="2:2">
      <c r="B981" s="66"/>
    </row>
    <row r="982" spans="2:2">
      <c r="B982" s="66"/>
    </row>
    <row r="983" spans="2:2">
      <c r="B983" s="66"/>
    </row>
    <row r="984" spans="2:2">
      <c r="B984" s="66"/>
    </row>
    <row r="985" spans="2:2">
      <c r="B985" s="66"/>
    </row>
    <row r="986" spans="2:2">
      <c r="B986" s="66"/>
    </row>
    <row r="987" spans="2:2">
      <c r="B987" s="66"/>
    </row>
    <row r="988" spans="2:2">
      <c r="B988" s="66"/>
    </row>
    <row r="989" spans="2:2">
      <c r="B989" s="66"/>
    </row>
    <row r="990" spans="2:2">
      <c r="B990" s="66"/>
    </row>
    <row r="991" spans="2:2">
      <c r="B991" s="66"/>
    </row>
    <row r="992" spans="2:2">
      <c r="B992" s="66"/>
    </row>
    <row r="993" spans="2:2">
      <c r="B993" s="66"/>
    </row>
    <row r="994" spans="2:2">
      <c r="B994" s="66"/>
    </row>
    <row r="995" spans="2:2">
      <c r="B995" s="66"/>
    </row>
    <row r="996" spans="2:2">
      <c r="B996" s="66"/>
    </row>
    <row r="997" spans="2:2">
      <c r="B997" s="66"/>
    </row>
    <row r="998" spans="2:2">
      <c r="B998" s="66"/>
    </row>
    <row r="999" spans="2:2">
      <c r="B999" s="66"/>
    </row>
    <row r="1000" spans="2:2">
      <c r="B1000" s="66"/>
    </row>
    <row r="1001" spans="2:2">
      <c r="B1001" s="66"/>
    </row>
    <row r="1002" spans="2:2">
      <c r="B1002" s="66"/>
    </row>
    <row r="1003" spans="2:2">
      <c r="B1003" s="66"/>
    </row>
    <row r="1004" spans="2:2">
      <c r="B1004" s="66"/>
    </row>
    <row r="1005" spans="2:2">
      <c r="B1005" s="66"/>
    </row>
    <row r="1006" spans="2:2">
      <c r="B1006" s="66"/>
    </row>
    <row r="1007" spans="2:2">
      <c r="B1007" s="66"/>
    </row>
    <row r="1008" spans="2:2">
      <c r="B1008" s="66"/>
    </row>
    <row r="1009" spans="2:2">
      <c r="B1009" s="66"/>
    </row>
    <row r="1010" spans="2:2">
      <c r="B1010" s="66"/>
    </row>
    <row r="1011" spans="2:2">
      <c r="B1011" s="66"/>
    </row>
    <row r="1012" spans="2:2">
      <c r="B1012" s="66"/>
    </row>
    <row r="1013" spans="2:2">
      <c r="B1013" s="66"/>
    </row>
    <row r="1014" spans="2:2">
      <c r="B1014" s="66"/>
    </row>
    <row r="1015" spans="2:2">
      <c r="B1015" s="66"/>
    </row>
    <row r="1016" spans="2:2">
      <c r="B1016" s="66"/>
    </row>
    <row r="1017" spans="2:2">
      <c r="B1017" s="66"/>
    </row>
    <row r="1018" spans="2:2">
      <c r="B1018" s="66"/>
    </row>
    <row r="1019" spans="2:2">
      <c r="B1019" s="66"/>
    </row>
    <row r="1020" spans="2:2">
      <c r="B1020" s="66"/>
    </row>
    <row r="1021" spans="2:2">
      <c r="B1021" s="66"/>
    </row>
    <row r="1022" spans="2:2">
      <c r="B1022" s="66"/>
    </row>
    <row r="1023" spans="2:2">
      <c r="B1023" s="66"/>
    </row>
    <row r="1024" spans="2:2">
      <c r="B1024" s="66"/>
    </row>
    <row r="1025" spans="2:2">
      <c r="B1025" s="66"/>
    </row>
  </sheetData>
  <sheetProtection algorithmName="SHA-512" hashValue="nN89ssSr0ZzTACqeHsOhldTuMRXFShCS+NABeodVefqo1Prlc/L0Wb6JBg/Ul3ACUiX7C5XmlzhakuZonXiblQ==" saltValue="2fm8uh3OGmWQd9y5u+jV7w==" spinCount="100000" sheet="1" objects="1" scenarios="1"/>
  <mergeCells count="8">
    <mergeCell ref="I169:I175"/>
    <mergeCell ref="P169:P175"/>
    <mergeCell ref="B7:C7"/>
    <mergeCell ref="B9:C9"/>
    <mergeCell ref="I114:I116"/>
    <mergeCell ref="P114:P116"/>
    <mergeCell ref="G130:I135"/>
    <mergeCell ref="N130:P135"/>
  </mergeCells>
  <pageMargins left="0.7" right="0.7" top="0.75" bottom="0.75" header="0.3" footer="0.3"/>
  <ignoredErrors>
    <ignoredError sqref="D174:H174" formulaRange="1"/>
    <ignoredError sqref="J171 J51" 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2AE33-F1D4-8D42-81BB-768B4EA92AC1}">
  <sheetPr codeName="Sheet8"/>
  <dimension ref="B7:V900"/>
  <sheetViews>
    <sheetView showGridLines="0" zoomScaleNormal="100" workbookViewId="0">
      <selection activeCell="B7" sqref="B7:C7"/>
    </sheetView>
  </sheetViews>
  <sheetFormatPr baseColWidth="10" defaultColWidth="10.83203125" defaultRowHeight="15"/>
  <cols>
    <col min="1" max="1" width="1.6640625" style="2" customWidth="1"/>
    <col min="2" max="2" width="4.5" style="2" customWidth="1"/>
    <col min="3" max="3" width="37.33203125" style="2" customWidth="1"/>
    <col min="4" max="7" width="10.83203125" style="2" customWidth="1"/>
    <col min="8" max="10" width="10.83203125" style="2" hidden="1" customWidth="1"/>
    <col min="11" max="11" width="10.83203125" style="2" customWidth="1"/>
    <col min="12" max="14" width="10.83203125" style="2" hidden="1" customWidth="1"/>
    <col min="15" max="15" width="10.83203125" style="4" hidden="1" customWidth="1"/>
    <col min="16" max="16" width="10.83203125" style="2" customWidth="1"/>
    <col min="17" max="19" width="10.83203125" style="2" hidden="1" customWidth="1"/>
    <col min="20" max="20" width="0" style="4" hidden="1" customWidth="1"/>
    <col min="21" max="16384" width="10.83203125" style="2"/>
  </cols>
  <sheetData>
    <row r="7" spans="2:20" ht="21" customHeight="1">
      <c r="B7" s="140" t="s">
        <v>415</v>
      </c>
      <c r="C7" s="140"/>
    </row>
    <row r="9" spans="2:20" s="9" customFormat="1" ht="20" customHeight="1">
      <c r="B9" s="141" t="s">
        <v>71</v>
      </c>
      <c r="C9" s="141"/>
      <c r="D9" s="5" t="s">
        <v>0</v>
      </c>
      <c r="E9" s="5" t="s">
        <v>1</v>
      </c>
      <c r="F9" s="5" t="s">
        <v>2</v>
      </c>
      <c r="G9" s="147" t="s">
        <v>6</v>
      </c>
      <c r="H9" s="5" t="s">
        <v>0</v>
      </c>
      <c r="I9" s="5" t="s">
        <v>1</v>
      </c>
      <c r="J9" s="5" t="s">
        <v>2</v>
      </c>
      <c r="K9" s="147" t="s">
        <v>7</v>
      </c>
      <c r="L9" s="5" t="s">
        <v>8</v>
      </c>
      <c r="M9" s="5" t="s">
        <v>9</v>
      </c>
      <c r="N9" s="5" t="s">
        <v>11</v>
      </c>
      <c r="O9" s="5" t="s">
        <v>10</v>
      </c>
      <c r="P9" s="147" t="s">
        <v>15</v>
      </c>
      <c r="Q9" s="5" t="s">
        <v>44</v>
      </c>
      <c r="R9" s="5" t="s">
        <v>45</v>
      </c>
      <c r="S9" s="5" t="s">
        <v>47</v>
      </c>
      <c r="T9" s="147" t="s">
        <v>50</v>
      </c>
    </row>
    <row r="10" spans="2:20">
      <c r="B10" s="10" t="s">
        <v>209</v>
      </c>
      <c r="C10" s="11"/>
      <c r="O10" s="2"/>
      <c r="T10" s="2"/>
    </row>
    <row r="11" spans="2:20" ht="16">
      <c r="C11" s="11" t="s">
        <v>210</v>
      </c>
      <c r="D11" s="2">
        <v>12</v>
      </c>
      <c r="E11" s="2">
        <v>7</v>
      </c>
      <c r="F11" s="2">
        <v>0</v>
      </c>
      <c r="G11" s="13">
        <f>SUM(D11:F11)</f>
        <v>19</v>
      </c>
      <c r="H11" s="2">
        <v>7</v>
      </c>
      <c r="I11" s="2">
        <v>7</v>
      </c>
      <c r="J11" s="2">
        <v>1</v>
      </c>
      <c r="K11" s="13">
        <f>SUM(H11:J11)</f>
        <v>15</v>
      </c>
      <c r="L11" s="2">
        <v>8</v>
      </c>
      <c r="M11" s="2">
        <v>8</v>
      </c>
      <c r="N11" s="2">
        <v>3</v>
      </c>
      <c r="O11" s="2">
        <v>0</v>
      </c>
      <c r="P11" s="13">
        <f>SUM(L11:O11)</f>
        <v>19</v>
      </c>
      <c r="Q11" s="2">
        <v>7</v>
      </c>
      <c r="R11" s="2">
        <v>5</v>
      </c>
      <c r="S11" s="2">
        <v>15</v>
      </c>
      <c r="T11" s="13">
        <f>SUM(Q11:S11)</f>
        <v>27</v>
      </c>
    </row>
    <row r="12" spans="2:20" ht="16">
      <c r="C12" s="11" t="s">
        <v>211</v>
      </c>
      <c r="D12" s="2">
        <v>6</v>
      </c>
      <c r="E12" s="2">
        <v>5</v>
      </c>
      <c r="F12" s="2">
        <v>0</v>
      </c>
      <c r="G12" s="13">
        <f t="shared" ref="G12:G17" si="0">SUM(D12:F12)</f>
        <v>11</v>
      </c>
      <c r="H12" s="2">
        <v>0</v>
      </c>
      <c r="I12" s="2">
        <v>4</v>
      </c>
      <c r="J12" s="2">
        <v>0</v>
      </c>
      <c r="K12" s="13">
        <f t="shared" ref="K12:K17" si="1">SUM(H12:J12)</f>
        <v>4</v>
      </c>
      <c r="L12" s="2">
        <v>2</v>
      </c>
      <c r="M12" s="2">
        <v>6</v>
      </c>
      <c r="N12" s="2">
        <v>2</v>
      </c>
      <c r="O12" s="2">
        <v>1</v>
      </c>
      <c r="P12" s="13">
        <f t="shared" ref="P12:P17" si="2">SUM(L12:O12)</f>
        <v>11</v>
      </c>
      <c r="Q12" s="2">
        <v>2</v>
      </c>
      <c r="R12" s="2">
        <v>4</v>
      </c>
      <c r="S12" s="2">
        <v>15</v>
      </c>
      <c r="T12" s="13">
        <f t="shared" ref="T12:T17" si="3">SUM(Q12:S12)</f>
        <v>21</v>
      </c>
    </row>
    <row r="13" spans="2:20" ht="16">
      <c r="C13" s="11" t="s">
        <v>212</v>
      </c>
      <c r="D13" s="2">
        <v>0</v>
      </c>
      <c r="E13" s="2">
        <v>0</v>
      </c>
      <c r="F13" s="2">
        <v>0</v>
      </c>
      <c r="G13" s="13">
        <f t="shared" si="0"/>
        <v>0</v>
      </c>
      <c r="H13" s="2">
        <v>0</v>
      </c>
      <c r="I13" s="2">
        <v>0</v>
      </c>
      <c r="J13" s="2">
        <v>0</v>
      </c>
      <c r="K13" s="13">
        <f t="shared" si="1"/>
        <v>0</v>
      </c>
      <c r="L13" s="2">
        <v>0</v>
      </c>
      <c r="M13" s="2">
        <v>0</v>
      </c>
      <c r="N13" s="2">
        <v>0</v>
      </c>
      <c r="O13" s="2">
        <v>0</v>
      </c>
      <c r="P13" s="13">
        <f t="shared" si="2"/>
        <v>0</v>
      </c>
      <c r="Q13" s="2">
        <v>0</v>
      </c>
      <c r="R13" s="2">
        <v>0</v>
      </c>
      <c r="S13" s="2">
        <v>0</v>
      </c>
      <c r="T13" s="13">
        <f t="shared" si="3"/>
        <v>0</v>
      </c>
    </row>
    <row r="14" spans="2:20" ht="16" customHeight="1">
      <c r="C14" s="11" t="s">
        <v>213</v>
      </c>
      <c r="D14" s="2">
        <v>12</v>
      </c>
      <c r="E14" s="2">
        <v>6</v>
      </c>
      <c r="F14" s="2">
        <v>3</v>
      </c>
      <c r="G14" s="13">
        <f t="shared" si="0"/>
        <v>21</v>
      </c>
      <c r="H14" s="2">
        <v>14</v>
      </c>
      <c r="I14" s="2">
        <v>9</v>
      </c>
      <c r="J14" s="2">
        <v>2</v>
      </c>
      <c r="K14" s="13">
        <f t="shared" si="1"/>
        <v>25</v>
      </c>
      <c r="L14" s="2">
        <v>6</v>
      </c>
      <c r="M14" s="2">
        <v>2</v>
      </c>
      <c r="N14" s="2">
        <v>1</v>
      </c>
      <c r="O14" s="2">
        <v>2</v>
      </c>
      <c r="P14" s="13">
        <f t="shared" si="2"/>
        <v>11</v>
      </c>
      <c r="Q14" s="2">
        <v>4</v>
      </c>
      <c r="R14" s="2">
        <v>2</v>
      </c>
      <c r="S14" s="2">
        <v>1</v>
      </c>
      <c r="T14" s="13">
        <f t="shared" si="3"/>
        <v>7</v>
      </c>
    </row>
    <row r="15" spans="2:20" ht="16" customHeight="1">
      <c r="C15" s="11" t="s">
        <v>214</v>
      </c>
      <c r="D15" s="2">
        <v>7</v>
      </c>
      <c r="E15" s="2">
        <v>9</v>
      </c>
      <c r="F15" s="2">
        <v>4</v>
      </c>
      <c r="G15" s="13">
        <f t="shared" si="0"/>
        <v>20</v>
      </c>
      <c r="H15" s="2">
        <v>5</v>
      </c>
      <c r="I15" s="2">
        <v>8</v>
      </c>
      <c r="J15" s="2">
        <v>0</v>
      </c>
      <c r="K15" s="13">
        <f t="shared" si="1"/>
        <v>13</v>
      </c>
      <c r="L15" s="2">
        <v>26</v>
      </c>
      <c r="M15" s="2">
        <v>21</v>
      </c>
      <c r="N15" s="2">
        <v>5</v>
      </c>
      <c r="O15" s="2">
        <v>1</v>
      </c>
      <c r="P15" s="13">
        <f t="shared" si="2"/>
        <v>53</v>
      </c>
      <c r="Q15" s="165" t="s">
        <v>17</v>
      </c>
      <c r="R15" s="165" t="s">
        <v>17</v>
      </c>
      <c r="S15" s="165" t="s">
        <v>17</v>
      </c>
      <c r="T15" s="13">
        <f t="shared" si="3"/>
        <v>0</v>
      </c>
    </row>
    <row r="16" spans="2:20" ht="16" customHeight="1">
      <c r="C16" s="11" t="s">
        <v>215</v>
      </c>
      <c r="D16" s="109">
        <v>126</v>
      </c>
      <c r="E16" s="2">
        <v>235</v>
      </c>
      <c r="F16" s="2">
        <v>0</v>
      </c>
      <c r="G16" s="13">
        <f t="shared" si="0"/>
        <v>361</v>
      </c>
      <c r="H16" s="2">
        <v>10</v>
      </c>
      <c r="I16" s="2">
        <v>141</v>
      </c>
      <c r="J16" s="2">
        <v>0</v>
      </c>
      <c r="K16" s="13">
        <f t="shared" si="1"/>
        <v>151</v>
      </c>
      <c r="L16" s="2">
        <v>73</v>
      </c>
      <c r="M16" s="2">
        <v>263</v>
      </c>
      <c r="N16" s="2">
        <v>50</v>
      </c>
      <c r="O16" s="2">
        <v>27</v>
      </c>
      <c r="P16" s="13">
        <f t="shared" si="2"/>
        <v>413</v>
      </c>
      <c r="Q16" s="2">
        <v>86</v>
      </c>
      <c r="R16" s="2">
        <v>109</v>
      </c>
      <c r="S16" s="2">
        <v>200</v>
      </c>
      <c r="T16" s="13">
        <f t="shared" si="3"/>
        <v>395</v>
      </c>
    </row>
    <row r="17" spans="2:21" s="12" customFormat="1" ht="16" customHeight="1">
      <c r="C17" s="11" t="s">
        <v>216</v>
      </c>
      <c r="D17" s="109">
        <v>1628839</v>
      </c>
      <c r="E17" s="12">
        <v>1188662</v>
      </c>
      <c r="F17" s="12">
        <v>211863</v>
      </c>
      <c r="G17" s="13">
        <f t="shared" si="0"/>
        <v>3029364</v>
      </c>
      <c r="H17" s="12">
        <v>1818378</v>
      </c>
      <c r="I17" s="12">
        <v>1215164</v>
      </c>
      <c r="J17" s="12">
        <v>166220</v>
      </c>
      <c r="K17" s="13">
        <f t="shared" si="1"/>
        <v>3199762</v>
      </c>
      <c r="L17" s="12">
        <v>1642782</v>
      </c>
      <c r="M17" s="12">
        <v>945270</v>
      </c>
      <c r="N17" s="12">
        <v>373296</v>
      </c>
      <c r="O17" s="12">
        <v>89780</v>
      </c>
      <c r="P17" s="13">
        <f t="shared" si="2"/>
        <v>3051128</v>
      </c>
      <c r="Q17" s="12">
        <v>938267</v>
      </c>
      <c r="R17" s="12">
        <v>745149</v>
      </c>
      <c r="S17" s="12">
        <v>466679</v>
      </c>
      <c r="T17" s="13">
        <f t="shared" si="3"/>
        <v>2150095</v>
      </c>
      <c r="U17" s="2"/>
    </row>
    <row r="18" spans="2:21" ht="16" customHeight="1">
      <c r="C18" s="11" t="s">
        <v>217</v>
      </c>
      <c r="E18" s="2">
        <v>0</v>
      </c>
      <c r="F18" s="2">
        <v>0</v>
      </c>
      <c r="G18" s="13">
        <f>SUM(D18:F18)</f>
        <v>0</v>
      </c>
      <c r="H18" s="2">
        <v>0</v>
      </c>
      <c r="I18" s="2">
        <v>0</v>
      </c>
      <c r="J18" s="2">
        <v>0</v>
      </c>
      <c r="K18" s="13">
        <f>SUM(H18:J18)</f>
        <v>0</v>
      </c>
      <c r="L18" s="2">
        <v>0</v>
      </c>
      <c r="M18" s="2">
        <v>0</v>
      </c>
      <c r="N18" s="2">
        <v>0</v>
      </c>
      <c r="O18" s="2">
        <v>0</v>
      </c>
      <c r="P18" s="13"/>
      <c r="Q18" s="2">
        <v>0</v>
      </c>
      <c r="R18" s="2">
        <v>0</v>
      </c>
      <c r="S18" s="2">
        <v>0</v>
      </c>
      <c r="T18" s="13">
        <f>SUM(Q18:S18)</f>
        <v>0</v>
      </c>
    </row>
    <row r="19" spans="2:21" s="94" customFormat="1" ht="16" customHeight="1">
      <c r="C19" s="16" t="s">
        <v>218</v>
      </c>
      <c r="D19" s="166">
        <f t="shared" ref="D19:T19" si="4">(D11*200000)/D17</f>
        <v>1.4734421265699065</v>
      </c>
      <c r="E19" s="166">
        <f t="shared" si="4"/>
        <v>1.1777948651509007</v>
      </c>
      <c r="F19" s="166">
        <f t="shared" si="4"/>
        <v>0</v>
      </c>
      <c r="G19" s="167">
        <f t="shared" si="4"/>
        <v>1.2543887099734465</v>
      </c>
      <c r="H19" s="166">
        <f t="shared" si="4"/>
        <v>0.76991692596368855</v>
      </c>
      <c r="I19" s="166">
        <f t="shared" si="4"/>
        <v>1.1521078636299298</v>
      </c>
      <c r="J19" s="166">
        <f t="shared" si="4"/>
        <v>1.2032246420406689</v>
      </c>
      <c r="K19" s="167">
        <f t="shared" si="4"/>
        <v>0.93756973174879876</v>
      </c>
      <c r="L19" s="166">
        <f t="shared" si="4"/>
        <v>0.97395759145157423</v>
      </c>
      <c r="M19" s="166">
        <f t="shared" si="4"/>
        <v>1.6926380822410527</v>
      </c>
      <c r="N19" s="166">
        <f t="shared" si="4"/>
        <v>1.6073035875016073</v>
      </c>
      <c r="O19" s="166">
        <f t="shared" si="4"/>
        <v>0</v>
      </c>
      <c r="P19" s="167">
        <f t="shared" si="4"/>
        <v>1.2454410303336996</v>
      </c>
      <c r="Q19" s="166">
        <f t="shared" si="4"/>
        <v>1.4921125862894038</v>
      </c>
      <c r="R19" s="166">
        <f t="shared" si="4"/>
        <v>1.342013476499331</v>
      </c>
      <c r="S19" s="166">
        <f t="shared" si="4"/>
        <v>6.428401535102287</v>
      </c>
      <c r="T19" s="167">
        <f t="shared" si="4"/>
        <v>2.5115169329727292</v>
      </c>
      <c r="U19" s="2"/>
    </row>
    <row r="20" spans="2:21" s="94" customFormat="1" ht="16" customHeight="1">
      <c r="C20" s="16" t="s">
        <v>219</v>
      </c>
      <c r="D20" s="166">
        <f t="shared" ref="D20:T20" si="5">(D12*200000)/D17</f>
        <v>0.73672106328495324</v>
      </c>
      <c r="E20" s="166">
        <f t="shared" si="5"/>
        <v>0.84128204653635774</v>
      </c>
      <c r="F20" s="166">
        <f t="shared" si="5"/>
        <v>0</v>
      </c>
      <c r="G20" s="167">
        <f t="shared" si="5"/>
        <v>0.72622504261620591</v>
      </c>
      <c r="H20" s="166">
        <f t="shared" si="5"/>
        <v>0</v>
      </c>
      <c r="I20" s="166">
        <f t="shared" si="5"/>
        <v>0.65834735064567418</v>
      </c>
      <c r="J20" s="166">
        <f t="shared" si="5"/>
        <v>0</v>
      </c>
      <c r="K20" s="167">
        <f t="shared" si="5"/>
        <v>0.250018595133013</v>
      </c>
      <c r="L20" s="166">
        <f t="shared" si="5"/>
        <v>0.24348939786289356</v>
      </c>
      <c r="M20" s="166">
        <f t="shared" si="5"/>
        <v>1.2694785616807895</v>
      </c>
      <c r="N20" s="166">
        <f t="shared" si="5"/>
        <v>1.0715357250010715</v>
      </c>
      <c r="O20" s="166">
        <f t="shared" si="5"/>
        <v>2.2276676319893074</v>
      </c>
      <c r="P20" s="167">
        <f t="shared" si="5"/>
        <v>0.72104480703529972</v>
      </c>
      <c r="Q20" s="166">
        <f t="shared" si="5"/>
        <v>0.4263178817969725</v>
      </c>
      <c r="R20" s="166">
        <f t="shared" si="5"/>
        <v>1.0736107811994648</v>
      </c>
      <c r="S20" s="166">
        <f t="shared" si="5"/>
        <v>6.428401535102287</v>
      </c>
      <c r="T20" s="167">
        <f t="shared" si="5"/>
        <v>1.9534020589787893</v>
      </c>
      <c r="U20" s="2"/>
    </row>
    <row r="21" spans="2:21" ht="16" customHeight="1">
      <c r="C21" s="11" t="s">
        <v>220</v>
      </c>
      <c r="D21" s="80">
        <f t="shared" ref="D21:T21" si="6">(D16*200000)/D17</f>
        <v>15.471142328984019</v>
      </c>
      <c r="E21" s="80">
        <f t="shared" si="6"/>
        <v>39.540256187208811</v>
      </c>
      <c r="F21" s="80">
        <f t="shared" si="6"/>
        <v>0</v>
      </c>
      <c r="G21" s="82">
        <f t="shared" si="6"/>
        <v>23.833385489495484</v>
      </c>
      <c r="H21" s="80">
        <f t="shared" si="6"/>
        <v>1.0998813228052693</v>
      </c>
      <c r="I21" s="80">
        <f t="shared" si="6"/>
        <v>23.206744110260015</v>
      </c>
      <c r="J21" s="80">
        <f t="shared" si="6"/>
        <v>0</v>
      </c>
      <c r="K21" s="82">
        <f t="shared" si="6"/>
        <v>9.438201966271242</v>
      </c>
      <c r="L21" s="80">
        <f t="shared" si="6"/>
        <v>8.8873630219956148</v>
      </c>
      <c r="M21" s="80">
        <f t="shared" si="6"/>
        <v>55.64547695367461</v>
      </c>
      <c r="N21" s="80">
        <f t="shared" si="6"/>
        <v>26.78839312502679</v>
      </c>
      <c r="O21" s="80">
        <f t="shared" si="6"/>
        <v>60.147026063711294</v>
      </c>
      <c r="P21" s="82">
        <f t="shared" si="6"/>
        <v>27.071955027779889</v>
      </c>
      <c r="Q21" s="80">
        <f t="shared" si="6"/>
        <v>18.331668917269816</v>
      </c>
      <c r="R21" s="80">
        <f t="shared" si="6"/>
        <v>29.255893787685416</v>
      </c>
      <c r="S21" s="80">
        <f t="shared" si="6"/>
        <v>85.712020468030488</v>
      </c>
      <c r="T21" s="82">
        <f t="shared" si="6"/>
        <v>36.742562537934369</v>
      </c>
    </row>
    <row r="22" spans="2:21" ht="16" customHeight="1">
      <c r="C22" s="11" t="s">
        <v>221</v>
      </c>
      <c r="D22" s="80">
        <f t="shared" ref="D22:T22" si="7">(D14*200000)/D17</f>
        <v>1.4734421265699065</v>
      </c>
      <c r="E22" s="80">
        <f t="shared" si="7"/>
        <v>1.0095384558436293</v>
      </c>
      <c r="F22" s="80">
        <f t="shared" si="7"/>
        <v>2.8320188046048624</v>
      </c>
      <c r="G22" s="82">
        <f t="shared" si="7"/>
        <v>1.3864296268127567</v>
      </c>
      <c r="H22" s="80">
        <f t="shared" si="7"/>
        <v>1.5398338519273771</v>
      </c>
      <c r="I22" s="80">
        <f t="shared" si="7"/>
        <v>1.4812815389527669</v>
      </c>
      <c r="J22" s="80">
        <f t="shared" si="7"/>
        <v>2.4064492840813378</v>
      </c>
      <c r="K22" s="82">
        <f t="shared" si="7"/>
        <v>1.5626162195813313</v>
      </c>
      <c r="L22" s="80">
        <f t="shared" si="7"/>
        <v>0.73046819358868065</v>
      </c>
      <c r="M22" s="80">
        <f t="shared" si="7"/>
        <v>0.42315952056026318</v>
      </c>
      <c r="N22" s="80">
        <f t="shared" si="7"/>
        <v>0.53576786250053576</v>
      </c>
      <c r="O22" s="80">
        <f t="shared" si="7"/>
        <v>4.4553352639786148</v>
      </c>
      <c r="P22" s="82">
        <f t="shared" si="7"/>
        <v>0.72104480703529972</v>
      </c>
      <c r="Q22" s="80">
        <f t="shared" si="7"/>
        <v>0.852635763593945</v>
      </c>
      <c r="R22" s="80">
        <f t="shared" si="7"/>
        <v>0.53680539059973242</v>
      </c>
      <c r="S22" s="80">
        <f t="shared" si="7"/>
        <v>0.42856010234015246</v>
      </c>
      <c r="T22" s="82">
        <f t="shared" si="7"/>
        <v>0.65113401965959639</v>
      </c>
    </row>
    <row r="23" spans="2:21">
      <c r="B23" s="168"/>
      <c r="C23" s="169"/>
      <c r="D23" s="169"/>
      <c r="E23" s="169"/>
      <c r="F23" s="169"/>
      <c r="G23" s="169"/>
      <c r="H23" s="169"/>
      <c r="I23" s="169"/>
      <c r="J23" s="169"/>
      <c r="K23" s="169"/>
      <c r="L23" s="169"/>
      <c r="M23" s="169"/>
      <c r="N23" s="169"/>
      <c r="O23" s="169"/>
      <c r="P23" s="169"/>
      <c r="Q23" s="169"/>
      <c r="R23" s="169"/>
      <c r="S23" s="169"/>
      <c r="T23" s="169"/>
    </row>
    <row r="24" spans="2:21">
      <c r="B24" s="10" t="s">
        <v>222</v>
      </c>
      <c r="C24" s="11"/>
      <c r="O24" s="2"/>
      <c r="T24" s="2"/>
    </row>
    <row r="25" spans="2:21" ht="16">
      <c r="C25" s="11" t="s">
        <v>210</v>
      </c>
      <c r="D25" s="2">
        <v>3</v>
      </c>
      <c r="E25" s="2">
        <v>1</v>
      </c>
      <c r="F25" s="2">
        <v>4</v>
      </c>
      <c r="G25" s="13">
        <f t="shared" ref="G25:G31" si="8">SUM(D25:F25)</f>
        <v>8</v>
      </c>
      <c r="H25" s="2">
        <v>6</v>
      </c>
      <c r="I25" s="2">
        <v>1</v>
      </c>
      <c r="J25" s="2">
        <v>0</v>
      </c>
      <c r="K25" s="13">
        <f t="shared" ref="K25:K32" si="9">SUM(H25:J25)</f>
        <v>7</v>
      </c>
      <c r="L25" s="2">
        <v>4</v>
      </c>
      <c r="M25" s="2">
        <v>5</v>
      </c>
      <c r="N25" s="2">
        <v>1</v>
      </c>
      <c r="O25" s="2">
        <v>2</v>
      </c>
      <c r="P25" s="13">
        <f>SUM(L25:O25)</f>
        <v>12</v>
      </c>
      <c r="Q25" s="2">
        <v>2</v>
      </c>
      <c r="R25" s="2">
        <v>5</v>
      </c>
      <c r="S25" s="2">
        <v>1</v>
      </c>
      <c r="T25" s="13">
        <f>SUM(Q25:S25)</f>
        <v>8</v>
      </c>
    </row>
    <row r="26" spans="2:21" ht="16">
      <c r="C26" s="11" t="s">
        <v>211</v>
      </c>
      <c r="D26" s="2">
        <v>1</v>
      </c>
      <c r="E26" s="2">
        <v>0</v>
      </c>
      <c r="F26" s="2">
        <v>2</v>
      </c>
      <c r="G26" s="13">
        <f t="shared" si="8"/>
        <v>3</v>
      </c>
      <c r="H26" s="2">
        <v>1</v>
      </c>
      <c r="I26" s="2">
        <v>0</v>
      </c>
      <c r="J26" s="2">
        <v>0</v>
      </c>
      <c r="K26" s="13">
        <f t="shared" si="9"/>
        <v>1</v>
      </c>
      <c r="L26" s="2">
        <v>3</v>
      </c>
      <c r="M26" s="2">
        <v>3</v>
      </c>
      <c r="N26" s="2">
        <v>0</v>
      </c>
      <c r="O26" s="2">
        <v>1</v>
      </c>
      <c r="P26" s="13">
        <f t="shared" ref="P26:P31" si="10">SUM(L26:O26)</f>
        <v>7</v>
      </c>
      <c r="Q26" s="2">
        <v>1</v>
      </c>
      <c r="R26" s="2">
        <v>3</v>
      </c>
      <c r="S26" s="2">
        <v>1</v>
      </c>
      <c r="T26" s="13">
        <f t="shared" ref="T26:T32" si="11">SUM(Q26:S26)</f>
        <v>5</v>
      </c>
    </row>
    <row r="27" spans="2:21" ht="16">
      <c r="C27" s="11" t="s">
        <v>212</v>
      </c>
      <c r="D27" s="2">
        <v>0</v>
      </c>
      <c r="E27" s="2">
        <v>0</v>
      </c>
      <c r="F27" s="2">
        <v>0</v>
      </c>
      <c r="G27" s="13">
        <f t="shared" si="8"/>
        <v>0</v>
      </c>
      <c r="H27" s="2">
        <v>0</v>
      </c>
      <c r="I27" s="2">
        <v>0</v>
      </c>
      <c r="J27" s="2">
        <v>0</v>
      </c>
      <c r="K27" s="13">
        <f t="shared" si="9"/>
        <v>0</v>
      </c>
      <c r="L27" s="2">
        <v>1</v>
      </c>
      <c r="M27" s="2">
        <v>0</v>
      </c>
      <c r="N27" s="2">
        <v>0</v>
      </c>
      <c r="O27" s="2">
        <v>0</v>
      </c>
      <c r="P27" s="13">
        <f t="shared" si="10"/>
        <v>1</v>
      </c>
      <c r="Q27" s="2">
        <v>0</v>
      </c>
      <c r="R27" s="2">
        <v>0</v>
      </c>
      <c r="S27" s="2">
        <v>0</v>
      </c>
      <c r="T27" s="13">
        <f t="shared" si="11"/>
        <v>0</v>
      </c>
    </row>
    <row r="28" spans="2:21" ht="16" customHeight="1">
      <c r="C28" s="11" t="s">
        <v>213</v>
      </c>
      <c r="D28" s="2">
        <v>11</v>
      </c>
      <c r="E28" s="2">
        <v>2</v>
      </c>
      <c r="F28" s="2">
        <v>10</v>
      </c>
      <c r="G28" s="13">
        <f t="shared" si="8"/>
        <v>23</v>
      </c>
      <c r="H28" s="2">
        <v>10</v>
      </c>
      <c r="I28" s="2">
        <v>3</v>
      </c>
      <c r="J28" s="2">
        <v>4</v>
      </c>
      <c r="K28" s="13">
        <f t="shared" si="9"/>
        <v>17</v>
      </c>
      <c r="L28" s="2">
        <v>9</v>
      </c>
      <c r="M28" s="2">
        <v>6</v>
      </c>
      <c r="N28" s="2">
        <v>0</v>
      </c>
      <c r="O28" s="2">
        <v>0</v>
      </c>
      <c r="P28" s="13">
        <f t="shared" si="10"/>
        <v>15</v>
      </c>
      <c r="Q28" s="2">
        <v>1</v>
      </c>
      <c r="R28" s="2">
        <v>4</v>
      </c>
      <c r="S28" s="2">
        <v>0</v>
      </c>
      <c r="T28" s="13">
        <f t="shared" si="11"/>
        <v>5</v>
      </c>
    </row>
    <row r="29" spans="2:21" ht="16" customHeight="1">
      <c r="C29" s="11" t="s">
        <v>214</v>
      </c>
      <c r="D29" s="2">
        <v>3</v>
      </c>
      <c r="E29" s="2">
        <v>2</v>
      </c>
      <c r="F29" s="2">
        <v>3</v>
      </c>
      <c r="G29" s="13">
        <f t="shared" si="8"/>
        <v>8</v>
      </c>
      <c r="H29" s="2">
        <v>8</v>
      </c>
      <c r="I29" s="2">
        <v>3</v>
      </c>
      <c r="J29" s="2">
        <v>1</v>
      </c>
      <c r="K29" s="13">
        <f t="shared" si="9"/>
        <v>12</v>
      </c>
      <c r="L29" s="2">
        <v>17</v>
      </c>
      <c r="M29" s="2">
        <v>13</v>
      </c>
      <c r="N29" s="2">
        <v>7</v>
      </c>
      <c r="O29" s="2">
        <v>1</v>
      </c>
      <c r="P29" s="13">
        <f t="shared" si="10"/>
        <v>38</v>
      </c>
      <c r="Q29" s="165" t="s">
        <v>17</v>
      </c>
      <c r="R29" s="165" t="s">
        <v>17</v>
      </c>
      <c r="S29" s="165" t="s">
        <v>17</v>
      </c>
      <c r="T29" s="13">
        <f t="shared" si="11"/>
        <v>0</v>
      </c>
    </row>
    <row r="30" spans="2:21" ht="16" customHeight="1">
      <c r="C30" s="11" t="s">
        <v>215</v>
      </c>
      <c r="D30" s="109">
        <v>73</v>
      </c>
      <c r="E30" s="2">
        <v>0</v>
      </c>
      <c r="F30" s="2">
        <v>40</v>
      </c>
      <c r="G30" s="13">
        <f t="shared" si="8"/>
        <v>113</v>
      </c>
      <c r="H30" s="2">
        <v>36</v>
      </c>
      <c r="I30" s="2">
        <v>0</v>
      </c>
      <c r="J30" s="2">
        <v>0</v>
      </c>
      <c r="K30" s="13">
        <f t="shared" si="9"/>
        <v>36</v>
      </c>
      <c r="L30" s="2">
        <v>6045</v>
      </c>
      <c r="M30" s="2">
        <v>159</v>
      </c>
      <c r="N30" s="2">
        <v>0</v>
      </c>
      <c r="O30" s="2">
        <v>9</v>
      </c>
      <c r="P30" s="13">
        <f t="shared" si="10"/>
        <v>6213</v>
      </c>
      <c r="Q30" s="2">
        <v>139</v>
      </c>
      <c r="R30" s="2">
        <v>93</v>
      </c>
      <c r="S30" s="2">
        <v>13</v>
      </c>
      <c r="T30" s="13">
        <f t="shared" si="11"/>
        <v>245</v>
      </c>
    </row>
    <row r="31" spans="2:21" ht="16" customHeight="1">
      <c r="C31" s="11" t="s">
        <v>223</v>
      </c>
      <c r="D31" s="12">
        <v>1038682</v>
      </c>
      <c r="E31" s="12">
        <v>327420</v>
      </c>
      <c r="F31" s="12">
        <v>850009</v>
      </c>
      <c r="G31" s="13">
        <f t="shared" si="8"/>
        <v>2216111</v>
      </c>
      <c r="H31" s="12">
        <v>1220752</v>
      </c>
      <c r="I31" s="12">
        <v>384835</v>
      </c>
      <c r="J31" s="12">
        <v>239860</v>
      </c>
      <c r="K31" s="13">
        <f t="shared" si="9"/>
        <v>1845447</v>
      </c>
      <c r="L31" s="12">
        <v>1307878</v>
      </c>
      <c r="M31" s="12">
        <v>540120</v>
      </c>
      <c r="N31" s="12">
        <v>125873</v>
      </c>
      <c r="O31" s="12">
        <v>64380</v>
      </c>
      <c r="P31" s="13">
        <f t="shared" si="10"/>
        <v>2038251</v>
      </c>
      <c r="Q31" s="2">
        <v>765177</v>
      </c>
      <c r="R31" s="2">
        <v>577576</v>
      </c>
      <c r="S31" s="2">
        <v>242841</v>
      </c>
      <c r="T31" s="13">
        <f t="shared" si="11"/>
        <v>1585594</v>
      </c>
    </row>
    <row r="32" spans="2:21" ht="16" customHeight="1">
      <c r="C32" s="11" t="s">
        <v>217</v>
      </c>
      <c r="E32" s="2">
        <v>0</v>
      </c>
      <c r="F32" s="2">
        <v>0</v>
      </c>
      <c r="G32" s="13">
        <f t="shared" ref="G32" si="12">SUM(D32:F32)</f>
        <v>0</v>
      </c>
      <c r="H32" s="2">
        <v>0</v>
      </c>
      <c r="I32" s="2">
        <v>0</v>
      </c>
      <c r="J32" s="2">
        <v>0</v>
      </c>
      <c r="K32" s="13">
        <f t="shared" si="9"/>
        <v>0</v>
      </c>
      <c r="L32" s="2">
        <v>0</v>
      </c>
      <c r="M32" s="2">
        <v>0</v>
      </c>
      <c r="N32" s="2">
        <v>0</v>
      </c>
      <c r="O32" s="2">
        <v>0</v>
      </c>
      <c r="P32" s="13"/>
      <c r="Q32" s="2">
        <v>0</v>
      </c>
      <c r="R32" s="2">
        <v>0</v>
      </c>
      <c r="S32" s="2">
        <v>0</v>
      </c>
      <c r="T32" s="13">
        <f t="shared" si="11"/>
        <v>0</v>
      </c>
    </row>
    <row r="33" spans="2:21" s="94" customFormat="1" ht="16" customHeight="1">
      <c r="C33" s="16" t="s">
        <v>218</v>
      </c>
      <c r="D33" s="170">
        <f t="shared" ref="D33:T33" si="13">(D25*200000)/D31</f>
        <v>0.57765514373022731</v>
      </c>
      <c r="E33" s="170">
        <f t="shared" si="13"/>
        <v>0.61083623480544869</v>
      </c>
      <c r="F33" s="170">
        <f t="shared" si="13"/>
        <v>0.94116650529582624</v>
      </c>
      <c r="G33" s="167">
        <f t="shared" si="13"/>
        <v>0.72198549621386299</v>
      </c>
      <c r="H33" s="170">
        <f t="shared" si="13"/>
        <v>0.98300064222708627</v>
      </c>
      <c r="I33" s="170">
        <f t="shared" si="13"/>
        <v>0.51970324944456714</v>
      </c>
      <c r="J33" s="170">
        <f t="shared" si="13"/>
        <v>0</v>
      </c>
      <c r="K33" s="167">
        <f t="shared" si="13"/>
        <v>0.75862379141747227</v>
      </c>
      <c r="L33" s="170">
        <f t="shared" si="13"/>
        <v>0.61167784762798971</v>
      </c>
      <c r="M33" s="170">
        <f t="shared" si="13"/>
        <v>1.8514404206472637</v>
      </c>
      <c r="N33" s="170">
        <f t="shared" si="13"/>
        <v>1.588903100744401</v>
      </c>
      <c r="O33" s="170">
        <f t="shared" si="13"/>
        <v>6.2131096613855235</v>
      </c>
      <c r="P33" s="167">
        <f t="shared" si="13"/>
        <v>1.1774801042658631</v>
      </c>
      <c r="Q33" s="170">
        <f t="shared" si="13"/>
        <v>0.52275486586763587</v>
      </c>
      <c r="R33" s="170">
        <f t="shared" si="13"/>
        <v>1.7313738798010998</v>
      </c>
      <c r="S33" s="170">
        <f t="shared" si="13"/>
        <v>0.82358415588800904</v>
      </c>
      <c r="T33" s="167">
        <f t="shared" si="13"/>
        <v>1.0090855540573438</v>
      </c>
      <c r="U33" s="2"/>
    </row>
    <row r="34" spans="2:21" s="94" customFormat="1" ht="16" customHeight="1">
      <c r="C34" s="16" t="s">
        <v>219</v>
      </c>
      <c r="D34" s="170">
        <f t="shared" ref="D34:T34" si="14">(D26*200000)/D31</f>
        <v>0.19255171457674244</v>
      </c>
      <c r="E34" s="170">
        <f t="shared" si="14"/>
        <v>0</v>
      </c>
      <c r="F34" s="170">
        <f t="shared" si="14"/>
        <v>0.47058325264791312</v>
      </c>
      <c r="G34" s="167">
        <f t="shared" si="14"/>
        <v>0.27074456108019862</v>
      </c>
      <c r="H34" s="170">
        <f t="shared" si="14"/>
        <v>0.16383344037118105</v>
      </c>
      <c r="I34" s="170">
        <f t="shared" si="14"/>
        <v>0</v>
      </c>
      <c r="J34" s="170">
        <f t="shared" si="14"/>
        <v>0</v>
      </c>
      <c r="K34" s="167">
        <f t="shared" si="14"/>
        <v>0.10837482734535318</v>
      </c>
      <c r="L34" s="170">
        <f t="shared" si="14"/>
        <v>0.45875838572099231</v>
      </c>
      <c r="M34" s="170">
        <f t="shared" si="14"/>
        <v>1.1108642523883581</v>
      </c>
      <c r="N34" s="170">
        <f t="shared" si="14"/>
        <v>0</v>
      </c>
      <c r="O34" s="170">
        <f t="shared" si="14"/>
        <v>3.1065548306927617</v>
      </c>
      <c r="P34" s="167">
        <f t="shared" si="14"/>
        <v>0.6868633941550869</v>
      </c>
      <c r="Q34" s="170">
        <f t="shared" si="14"/>
        <v>0.26137743293381793</v>
      </c>
      <c r="R34" s="170">
        <f t="shared" si="14"/>
        <v>1.0388243278806599</v>
      </c>
      <c r="S34" s="170">
        <f t="shared" si="14"/>
        <v>0.82358415588800904</v>
      </c>
      <c r="T34" s="167">
        <f t="shared" si="14"/>
        <v>0.63067847128583987</v>
      </c>
      <c r="U34" s="2"/>
    </row>
    <row r="35" spans="2:21" ht="16" customHeight="1">
      <c r="C35" s="11" t="s">
        <v>220</v>
      </c>
      <c r="D35" s="171">
        <f t="shared" ref="D35:T35" si="15">(D30*200000)/D31</f>
        <v>14.056275164102198</v>
      </c>
      <c r="E35" s="171">
        <f t="shared" si="15"/>
        <v>0</v>
      </c>
      <c r="F35" s="171">
        <f t="shared" si="15"/>
        <v>9.4116650529582628</v>
      </c>
      <c r="G35" s="82">
        <f t="shared" si="15"/>
        <v>10.198045134020814</v>
      </c>
      <c r="H35" s="171">
        <f t="shared" si="15"/>
        <v>5.8980038533625176</v>
      </c>
      <c r="I35" s="171">
        <f t="shared" si="15"/>
        <v>0</v>
      </c>
      <c r="J35" s="171">
        <f t="shared" si="15"/>
        <v>0</v>
      </c>
      <c r="K35" s="82">
        <f t="shared" si="15"/>
        <v>3.9014937844327147</v>
      </c>
      <c r="L35" s="171">
        <f t="shared" si="15"/>
        <v>924.39814722779954</v>
      </c>
      <c r="M35" s="171">
        <f t="shared" si="15"/>
        <v>58.875805376582981</v>
      </c>
      <c r="N35" s="171">
        <f t="shared" si="15"/>
        <v>0</v>
      </c>
      <c r="O35" s="171">
        <f t="shared" si="15"/>
        <v>27.958993476234856</v>
      </c>
      <c r="P35" s="82">
        <f t="shared" si="15"/>
        <v>609.64032398365066</v>
      </c>
      <c r="Q35" s="171">
        <f t="shared" si="15"/>
        <v>36.331463177800693</v>
      </c>
      <c r="R35" s="171">
        <f t="shared" si="15"/>
        <v>32.203554164300456</v>
      </c>
      <c r="S35" s="171">
        <f t="shared" si="15"/>
        <v>10.706594026544117</v>
      </c>
      <c r="T35" s="82">
        <f t="shared" si="15"/>
        <v>30.903245093006156</v>
      </c>
    </row>
    <row r="36" spans="2:21" ht="16" customHeight="1">
      <c r="C36" s="11" t="s">
        <v>221</v>
      </c>
      <c r="D36" s="171">
        <f t="shared" ref="D36:T36" si="16">(D28*200000)/D31</f>
        <v>2.1180688603441671</v>
      </c>
      <c r="E36" s="171">
        <f t="shared" si="16"/>
        <v>1.2216724696108974</v>
      </c>
      <c r="F36" s="171">
        <f t="shared" si="16"/>
        <v>2.3529162632395657</v>
      </c>
      <c r="G36" s="82">
        <f t="shared" si="16"/>
        <v>2.0757083016148559</v>
      </c>
      <c r="H36" s="171">
        <f t="shared" si="16"/>
        <v>1.6383344037118104</v>
      </c>
      <c r="I36" s="171">
        <f t="shared" si="16"/>
        <v>1.5591097483337015</v>
      </c>
      <c r="J36" s="171">
        <f t="shared" si="16"/>
        <v>3.3352789126990743</v>
      </c>
      <c r="K36" s="82">
        <f t="shared" si="16"/>
        <v>1.8423720648710042</v>
      </c>
      <c r="L36" s="171">
        <f t="shared" si="16"/>
        <v>1.376275157162977</v>
      </c>
      <c r="M36" s="171">
        <f t="shared" si="16"/>
        <v>2.2217285047767161</v>
      </c>
      <c r="N36" s="171">
        <f t="shared" si="16"/>
        <v>0</v>
      </c>
      <c r="O36" s="171">
        <f t="shared" si="16"/>
        <v>0</v>
      </c>
      <c r="P36" s="82">
        <f t="shared" si="16"/>
        <v>1.471850130332329</v>
      </c>
      <c r="Q36" s="171">
        <f t="shared" si="16"/>
        <v>0.26137743293381793</v>
      </c>
      <c r="R36" s="171">
        <f t="shared" si="16"/>
        <v>1.3850991038408798</v>
      </c>
      <c r="S36" s="171">
        <f t="shared" si="16"/>
        <v>0</v>
      </c>
      <c r="T36" s="82">
        <f t="shared" si="16"/>
        <v>0.63067847128583987</v>
      </c>
    </row>
    <row r="37" spans="2:21" ht="16" customHeight="1" thickBot="1">
      <c r="B37" s="27"/>
      <c r="C37" s="28"/>
      <c r="D37" s="29"/>
      <c r="E37" s="29"/>
      <c r="F37" s="29"/>
      <c r="G37" s="30"/>
      <c r="H37" s="29"/>
      <c r="I37" s="29"/>
      <c r="J37" s="29"/>
      <c r="K37" s="30"/>
      <c r="L37" s="29"/>
      <c r="M37" s="29"/>
      <c r="N37" s="29"/>
      <c r="O37" s="29"/>
      <c r="P37" s="29"/>
      <c r="Q37" s="29"/>
      <c r="R37" s="29"/>
      <c r="S37" s="29"/>
      <c r="T37" s="29"/>
    </row>
    <row r="38" spans="2:21">
      <c r="B38" s="10" t="s">
        <v>224</v>
      </c>
      <c r="C38" s="11"/>
      <c r="O38" s="2"/>
      <c r="T38" s="2"/>
    </row>
    <row r="39" spans="2:21" ht="16">
      <c r="C39" s="11" t="s">
        <v>210</v>
      </c>
      <c r="D39" s="2">
        <f t="shared" ref="D39:O45" si="17">D11+D25</f>
        <v>15</v>
      </c>
      <c r="E39" s="2">
        <f t="shared" si="17"/>
        <v>8</v>
      </c>
      <c r="F39" s="2">
        <f t="shared" si="17"/>
        <v>4</v>
      </c>
      <c r="G39" s="13">
        <f t="shared" si="17"/>
        <v>27</v>
      </c>
      <c r="H39" s="2">
        <f t="shared" si="17"/>
        <v>13</v>
      </c>
      <c r="I39" s="2">
        <f t="shared" si="17"/>
        <v>8</v>
      </c>
      <c r="J39" s="2">
        <f t="shared" si="17"/>
        <v>1</v>
      </c>
      <c r="K39" s="13">
        <f t="shared" si="17"/>
        <v>22</v>
      </c>
      <c r="L39" s="2">
        <f t="shared" si="17"/>
        <v>12</v>
      </c>
      <c r="M39" s="2">
        <f t="shared" si="17"/>
        <v>13</v>
      </c>
      <c r="N39" s="2">
        <f t="shared" si="17"/>
        <v>4</v>
      </c>
      <c r="O39" s="2">
        <f t="shared" si="17"/>
        <v>2</v>
      </c>
      <c r="P39" s="13">
        <f>SUM(L39:O39)</f>
        <v>31</v>
      </c>
      <c r="Q39" s="2">
        <f t="shared" ref="Q39:R42" si="18">Q11+Q25</f>
        <v>9</v>
      </c>
      <c r="R39" s="2">
        <f t="shared" si="18"/>
        <v>10</v>
      </c>
      <c r="S39" s="2">
        <v>20</v>
      </c>
      <c r="T39" s="13">
        <f>SUM(Q39:S39)</f>
        <v>39</v>
      </c>
    </row>
    <row r="40" spans="2:21" ht="16">
      <c r="C40" s="11" t="s">
        <v>211</v>
      </c>
      <c r="D40" s="2">
        <f t="shared" si="17"/>
        <v>7</v>
      </c>
      <c r="E40" s="2">
        <f t="shared" si="17"/>
        <v>5</v>
      </c>
      <c r="F40" s="2">
        <f t="shared" si="17"/>
        <v>2</v>
      </c>
      <c r="G40" s="13">
        <f t="shared" si="17"/>
        <v>14</v>
      </c>
      <c r="H40" s="2">
        <f t="shared" si="17"/>
        <v>1</v>
      </c>
      <c r="I40" s="2">
        <f t="shared" si="17"/>
        <v>4</v>
      </c>
      <c r="J40" s="2">
        <f t="shared" si="17"/>
        <v>0</v>
      </c>
      <c r="K40" s="13">
        <f t="shared" si="17"/>
        <v>5</v>
      </c>
      <c r="L40" s="2">
        <f t="shared" si="17"/>
        <v>5</v>
      </c>
      <c r="M40" s="2">
        <f t="shared" si="17"/>
        <v>9</v>
      </c>
      <c r="N40" s="2">
        <f t="shared" si="17"/>
        <v>2</v>
      </c>
      <c r="O40" s="2">
        <f t="shared" si="17"/>
        <v>2</v>
      </c>
      <c r="P40" s="13">
        <f t="shared" ref="P40:P45" si="19">SUM(L40:O40)</f>
        <v>18</v>
      </c>
      <c r="Q40" s="2">
        <f t="shared" si="18"/>
        <v>3</v>
      </c>
      <c r="R40" s="2">
        <f t="shared" si="18"/>
        <v>7</v>
      </c>
      <c r="S40" s="2">
        <f>S12+S26</f>
        <v>16</v>
      </c>
      <c r="T40" s="13">
        <f t="shared" ref="T40:T45" si="20">SUM(Q40:S40)</f>
        <v>26</v>
      </c>
    </row>
    <row r="41" spans="2:21" ht="21" customHeight="1">
      <c r="C41" s="11" t="s">
        <v>212</v>
      </c>
      <c r="D41" s="2">
        <f t="shared" si="17"/>
        <v>0</v>
      </c>
      <c r="E41" s="2">
        <f t="shared" si="17"/>
        <v>0</v>
      </c>
      <c r="F41" s="2">
        <f t="shared" si="17"/>
        <v>0</v>
      </c>
      <c r="G41" s="13">
        <f t="shared" si="17"/>
        <v>0</v>
      </c>
      <c r="H41" s="2">
        <f t="shared" si="17"/>
        <v>0</v>
      </c>
      <c r="I41" s="2">
        <f t="shared" si="17"/>
        <v>0</v>
      </c>
      <c r="J41" s="2">
        <f t="shared" si="17"/>
        <v>0</v>
      </c>
      <c r="K41" s="13">
        <f t="shared" si="17"/>
        <v>0</v>
      </c>
      <c r="L41" s="2">
        <f t="shared" si="17"/>
        <v>1</v>
      </c>
      <c r="M41" s="2">
        <f t="shared" si="17"/>
        <v>0</v>
      </c>
      <c r="N41" s="2">
        <f t="shared" si="17"/>
        <v>0</v>
      </c>
      <c r="O41" s="2">
        <f t="shared" si="17"/>
        <v>0</v>
      </c>
      <c r="P41" s="13">
        <f t="shared" si="19"/>
        <v>1</v>
      </c>
      <c r="Q41" s="2">
        <f t="shared" si="18"/>
        <v>0</v>
      </c>
      <c r="R41" s="2">
        <f t="shared" si="18"/>
        <v>0</v>
      </c>
      <c r="S41" s="2">
        <f>S13+S27</f>
        <v>0</v>
      </c>
      <c r="T41" s="13">
        <f t="shared" si="20"/>
        <v>0</v>
      </c>
    </row>
    <row r="42" spans="2:21" ht="16" customHeight="1">
      <c r="C42" s="11" t="s">
        <v>213</v>
      </c>
      <c r="D42" s="2">
        <f t="shared" si="17"/>
        <v>23</v>
      </c>
      <c r="E42" s="2">
        <f t="shared" si="17"/>
        <v>8</v>
      </c>
      <c r="F42" s="2">
        <f t="shared" si="17"/>
        <v>13</v>
      </c>
      <c r="G42" s="13">
        <f t="shared" si="17"/>
        <v>44</v>
      </c>
      <c r="H42" s="2">
        <f t="shared" si="17"/>
        <v>24</v>
      </c>
      <c r="I42" s="2">
        <f t="shared" si="17"/>
        <v>12</v>
      </c>
      <c r="J42" s="2">
        <f t="shared" si="17"/>
        <v>6</v>
      </c>
      <c r="K42" s="13">
        <f t="shared" si="17"/>
        <v>42</v>
      </c>
      <c r="L42" s="2">
        <f t="shared" si="17"/>
        <v>15</v>
      </c>
      <c r="M42" s="2">
        <f t="shared" si="17"/>
        <v>8</v>
      </c>
      <c r="N42" s="172">
        <f t="shared" si="17"/>
        <v>1</v>
      </c>
      <c r="O42" s="2">
        <f t="shared" si="17"/>
        <v>2</v>
      </c>
      <c r="P42" s="13">
        <f t="shared" si="19"/>
        <v>26</v>
      </c>
      <c r="Q42" s="2">
        <f t="shared" si="18"/>
        <v>5</v>
      </c>
      <c r="R42" s="2">
        <f t="shared" si="18"/>
        <v>6</v>
      </c>
      <c r="S42" s="2">
        <f>S14+S28</f>
        <v>1</v>
      </c>
      <c r="T42" s="31">
        <f t="shared" si="20"/>
        <v>12</v>
      </c>
    </row>
    <row r="43" spans="2:21" ht="16" customHeight="1">
      <c r="C43" s="11" t="s">
        <v>214</v>
      </c>
      <c r="D43" s="2">
        <f t="shared" si="17"/>
        <v>10</v>
      </c>
      <c r="E43" s="2">
        <f t="shared" si="17"/>
        <v>11</v>
      </c>
      <c r="F43" s="2">
        <f t="shared" si="17"/>
        <v>7</v>
      </c>
      <c r="G43" s="13">
        <f t="shared" si="17"/>
        <v>28</v>
      </c>
      <c r="H43" s="2">
        <f t="shared" si="17"/>
        <v>13</v>
      </c>
      <c r="I43" s="2">
        <f t="shared" si="17"/>
        <v>11</v>
      </c>
      <c r="J43" s="2">
        <f t="shared" si="17"/>
        <v>1</v>
      </c>
      <c r="K43" s="13">
        <f t="shared" si="17"/>
        <v>25</v>
      </c>
      <c r="L43" s="2">
        <f t="shared" si="17"/>
        <v>43</v>
      </c>
      <c r="M43" s="2">
        <f t="shared" si="17"/>
        <v>34</v>
      </c>
      <c r="N43" s="2">
        <v>14</v>
      </c>
      <c r="O43" s="2">
        <f>O15+O29</f>
        <v>2</v>
      </c>
      <c r="P43" s="13">
        <f t="shared" si="19"/>
        <v>93</v>
      </c>
      <c r="Q43" s="165" t="s">
        <v>17</v>
      </c>
      <c r="R43" s="165" t="s">
        <v>17</v>
      </c>
      <c r="S43" s="165" t="s">
        <v>17</v>
      </c>
      <c r="T43" s="13">
        <f t="shared" si="20"/>
        <v>0</v>
      </c>
    </row>
    <row r="44" spans="2:21" ht="16" customHeight="1">
      <c r="C44" s="11" t="s">
        <v>215</v>
      </c>
      <c r="D44" s="2">
        <f t="shared" si="17"/>
        <v>199</v>
      </c>
      <c r="E44" s="2">
        <f t="shared" si="17"/>
        <v>235</v>
      </c>
      <c r="F44" s="2">
        <f t="shared" si="17"/>
        <v>40</v>
      </c>
      <c r="G44" s="13">
        <f t="shared" si="17"/>
        <v>474</v>
      </c>
      <c r="H44" s="2">
        <f t="shared" si="17"/>
        <v>46</v>
      </c>
      <c r="I44" s="2">
        <f t="shared" si="17"/>
        <v>141</v>
      </c>
      <c r="J44" s="2">
        <f t="shared" si="17"/>
        <v>0</v>
      </c>
      <c r="K44" s="13">
        <f t="shared" si="17"/>
        <v>187</v>
      </c>
      <c r="L44" s="2">
        <f t="shared" si="17"/>
        <v>6118</v>
      </c>
      <c r="M44" s="2">
        <f t="shared" si="17"/>
        <v>422</v>
      </c>
      <c r="N44" s="2">
        <f>N16+N30</f>
        <v>50</v>
      </c>
      <c r="O44" s="2">
        <f>O16+O30</f>
        <v>36</v>
      </c>
      <c r="P44" s="13">
        <f t="shared" si="19"/>
        <v>6626</v>
      </c>
      <c r="Q44" s="2">
        <f t="shared" ref="Q44:S45" si="21">Q16+Q30</f>
        <v>225</v>
      </c>
      <c r="R44" s="2">
        <f t="shared" si="21"/>
        <v>202</v>
      </c>
      <c r="S44" s="2">
        <f t="shared" si="21"/>
        <v>213</v>
      </c>
      <c r="T44" s="13">
        <f t="shared" si="20"/>
        <v>640</v>
      </c>
    </row>
    <row r="45" spans="2:21" ht="16" customHeight="1">
      <c r="C45" s="11" t="s">
        <v>223</v>
      </c>
      <c r="D45" s="12">
        <f t="shared" si="17"/>
        <v>2667521</v>
      </c>
      <c r="E45" s="12">
        <f t="shared" si="17"/>
        <v>1516082</v>
      </c>
      <c r="F45" s="12">
        <f t="shared" si="17"/>
        <v>1061872</v>
      </c>
      <c r="G45" s="13">
        <f t="shared" si="17"/>
        <v>5245475</v>
      </c>
      <c r="H45" s="12">
        <f t="shared" si="17"/>
        <v>3039130</v>
      </c>
      <c r="I45" s="12">
        <f t="shared" si="17"/>
        <v>1599999</v>
      </c>
      <c r="J45" s="12">
        <f t="shared" si="17"/>
        <v>406080</v>
      </c>
      <c r="K45" s="13">
        <f t="shared" si="17"/>
        <v>5045209</v>
      </c>
      <c r="L45" s="12">
        <f t="shared" si="17"/>
        <v>2950660</v>
      </c>
      <c r="M45" s="12">
        <f t="shared" si="17"/>
        <v>1485390</v>
      </c>
      <c r="N45" s="12">
        <f>N17+N31</f>
        <v>499169</v>
      </c>
      <c r="O45" s="12">
        <f>O17+O31</f>
        <v>154160</v>
      </c>
      <c r="P45" s="13">
        <f t="shared" si="19"/>
        <v>5089379</v>
      </c>
      <c r="Q45" s="12">
        <f t="shared" si="21"/>
        <v>1703444</v>
      </c>
      <c r="R45" s="12">
        <f t="shared" si="21"/>
        <v>1322725</v>
      </c>
      <c r="S45" s="12">
        <f t="shared" si="21"/>
        <v>709520</v>
      </c>
      <c r="T45" s="13">
        <f t="shared" si="20"/>
        <v>3735689</v>
      </c>
    </row>
    <row r="46" spans="2:21" ht="16" customHeight="1">
      <c r="C46" s="11" t="s">
        <v>217</v>
      </c>
      <c r="D46" s="2">
        <f>D32+D18</f>
        <v>0</v>
      </c>
      <c r="E46" s="2">
        <f t="shared" ref="E46:G46" si="22">E32+E18</f>
        <v>0</v>
      </c>
      <c r="F46" s="2">
        <f t="shared" si="22"/>
        <v>0</v>
      </c>
      <c r="G46" s="173">
        <f t="shared" si="22"/>
        <v>0</v>
      </c>
      <c r="H46" s="2">
        <f>H32+H18</f>
        <v>0</v>
      </c>
      <c r="I46" s="2">
        <f t="shared" ref="I46:T46" si="23">I32+I18</f>
        <v>0</v>
      </c>
      <c r="J46" s="2">
        <f t="shared" si="23"/>
        <v>0</v>
      </c>
      <c r="K46" s="173">
        <f t="shared" si="23"/>
        <v>0</v>
      </c>
      <c r="L46" s="2">
        <f t="shared" si="23"/>
        <v>0</v>
      </c>
      <c r="M46" s="2">
        <f t="shared" si="23"/>
        <v>0</v>
      </c>
      <c r="N46" s="2">
        <f t="shared" si="23"/>
        <v>0</v>
      </c>
      <c r="O46" s="2">
        <f t="shared" si="23"/>
        <v>0</v>
      </c>
      <c r="P46" s="173">
        <f t="shared" si="23"/>
        <v>0</v>
      </c>
      <c r="Q46" s="2">
        <f t="shared" si="23"/>
        <v>0</v>
      </c>
      <c r="R46" s="2">
        <f t="shared" si="23"/>
        <v>0</v>
      </c>
      <c r="S46" s="2">
        <f t="shared" si="23"/>
        <v>0</v>
      </c>
      <c r="T46" s="173">
        <f t="shared" si="23"/>
        <v>0</v>
      </c>
    </row>
    <row r="47" spans="2:21" s="94" customFormat="1" ht="16" customHeight="1">
      <c r="C47" s="16" t="s">
        <v>218</v>
      </c>
      <c r="D47" s="166">
        <f>(D39*200000)/D45</f>
        <v>1.1246396935581764</v>
      </c>
      <c r="E47" s="166">
        <f t="shared" ref="E47:G47" si="24">(E39*200000)/E45</f>
        <v>1.055351887298972</v>
      </c>
      <c r="F47" s="166">
        <f t="shared" si="24"/>
        <v>0.75338647219250532</v>
      </c>
      <c r="G47" s="167">
        <f t="shared" si="24"/>
        <v>1.0294587239477835</v>
      </c>
      <c r="H47" s="166">
        <f>(H39*200000)/H45</f>
        <v>0.85550799077367534</v>
      </c>
      <c r="I47" s="166">
        <f t="shared" ref="I47:N47" si="25">(I39*200000)/I45</f>
        <v>1.0000006250003906</v>
      </c>
      <c r="J47" s="166">
        <f t="shared" si="25"/>
        <v>0.4925137903861308</v>
      </c>
      <c r="K47" s="167">
        <f t="shared" si="25"/>
        <v>0.8721145149784677</v>
      </c>
      <c r="L47" s="166">
        <f t="shared" si="25"/>
        <v>0.81337734608528256</v>
      </c>
      <c r="M47" s="166">
        <f t="shared" si="25"/>
        <v>1.7503820545445976</v>
      </c>
      <c r="N47" s="166">
        <f t="shared" si="25"/>
        <v>1.6026636269479875</v>
      </c>
      <c r="O47" s="166">
        <f>(O39*200000)/O45</f>
        <v>2.5947067981318113</v>
      </c>
      <c r="P47" s="167">
        <f>(P39*200000)/P45</f>
        <v>1.2182232842160114</v>
      </c>
      <c r="Q47" s="166">
        <f t="shared" ref="Q47:T47" si="26">(Q39*200000)/Q45</f>
        <v>1.0566828143455258</v>
      </c>
      <c r="R47" s="166">
        <f t="shared" si="26"/>
        <v>1.512030089398779</v>
      </c>
      <c r="S47" s="166">
        <f t="shared" si="26"/>
        <v>5.6376141616867743</v>
      </c>
      <c r="T47" s="167">
        <f t="shared" si="26"/>
        <v>2.087968243609144</v>
      </c>
      <c r="U47" s="2"/>
    </row>
    <row r="48" spans="2:21" s="94" customFormat="1" ht="16" customHeight="1">
      <c r="C48" s="16" t="s">
        <v>219</v>
      </c>
      <c r="D48" s="166">
        <f>(D40*200000)/D45</f>
        <v>0.52483185699381563</v>
      </c>
      <c r="E48" s="166">
        <f t="shared" ref="E48:G48" si="27">(E40*200000)/E45</f>
        <v>0.6595949295618575</v>
      </c>
      <c r="F48" s="166">
        <f t="shared" si="27"/>
        <v>0.37669323609625266</v>
      </c>
      <c r="G48" s="167">
        <f t="shared" si="27"/>
        <v>0.53379341241736922</v>
      </c>
      <c r="H48" s="166">
        <f>(H40*200000)/H45</f>
        <v>6.5808306982590409E-2</v>
      </c>
      <c r="I48" s="166">
        <f t="shared" ref="I48:N48" si="28">(I40*200000)/I45</f>
        <v>0.50000031250019528</v>
      </c>
      <c r="J48" s="166">
        <f t="shared" si="28"/>
        <v>0</v>
      </c>
      <c r="K48" s="167">
        <f t="shared" si="28"/>
        <v>0.19820784431328811</v>
      </c>
      <c r="L48" s="166">
        <f>((L40+L41)*200000)/L45</f>
        <v>0.40668867304264128</v>
      </c>
      <c r="M48" s="166">
        <f t="shared" si="28"/>
        <v>1.2118029608385676</v>
      </c>
      <c r="N48" s="166">
        <f t="shared" si="28"/>
        <v>0.80133181347399374</v>
      </c>
      <c r="O48" s="166">
        <f>(O40*200000)/O45</f>
        <v>2.5947067981318113</v>
      </c>
      <c r="P48" s="167">
        <f>((P40+P41)*200000)/P45</f>
        <v>0.74665298064852315</v>
      </c>
      <c r="Q48" s="166">
        <f t="shared" ref="Q48:T48" si="29">(Q40*200000)/Q45</f>
        <v>0.35222760478184195</v>
      </c>
      <c r="R48" s="166">
        <f t="shared" si="29"/>
        <v>1.0584210625791453</v>
      </c>
      <c r="S48" s="166">
        <f t="shared" si="29"/>
        <v>4.5100913293494189</v>
      </c>
      <c r="T48" s="167">
        <f t="shared" si="29"/>
        <v>1.3919788290727628</v>
      </c>
      <c r="U48" s="2"/>
    </row>
    <row r="49" spans="2:22" ht="16" customHeight="1">
      <c r="C49" s="11" t="s">
        <v>220</v>
      </c>
      <c r="D49" s="80">
        <f>(D44*200000)/D45</f>
        <v>14.920219934538473</v>
      </c>
      <c r="E49" s="80">
        <f t="shared" ref="E49:G49" si="30">(E44*200000)/E45</f>
        <v>31.000961689407301</v>
      </c>
      <c r="F49" s="80">
        <f t="shared" si="30"/>
        <v>7.5338647219250534</v>
      </c>
      <c r="G49" s="82">
        <f t="shared" si="30"/>
        <v>18.072719820416644</v>
      </c>
      <c r="H49" s="80">
        <f>(H44*200000)/H45</f>
        <v>3.027182121199159</v>
      </c>
      <c r="I49" s="80">
        <f t="shared" ref="I49:N49" si="31">(I44*200000)/I45</f>
        <v>17.625011015631884</v>
      </c>
      <c r="J49" s="80">
        <f t="shared" si="31"/>
        <v>0</v>
      </c>
      <c r="K49" s="82">
        <f t="shared" si="31"/>
        <v>7.412973377316975</v>
      </c>
      <c r="L49" s="80">
        <f t="shared" si="31"/>
        <v>414.6868836124799</v>
      </c>
      <c r="M49" s="80">
        <f t="shared" si="31"/>
        <v>56.820094385986174</v>
      </c>
      <c r="N49" s="80">
        <f t="shared" si="31"/>
        <v>20.033295336849843</v>
      </c>
      <c r="O49" s="80">
        <f>(O44*200000)/O45</f>
        <v>46.7047223663726</v>
      </c>
      <c r="P49" s="82">
        <f>(P44*200000)/P45</f>
        <v>260.38540261984809</v>
      </c>
      <c r="Q49" s="80">
        <f t="shared" ref="Q49:T49" si="32">(Q44*200000)/Q45</f>
        <v>26.417070358638146</v>
      </c>
      <c r="R49" s="80">
        <f t="shared" si="32"/>
        <v>30.543007805855336</v>
      </c>
      <c r="S49" s="80">
        <f t="shared" si="32"/>
        <v>60.040590821964145</v>
      </c>
      <c r="T49" s="82">
        <f t="shared" si="32"/>
        <v>34.264094254098772</v>
      </c>
    </row>
    <row r="50" spans="2:22" ht="16" customHeight="1">
      <c r="C50" s="11" t="s">
        <v>221</v>
      </c>
      <c r="D50" s="80">
        <f>(D42*200000)/D45</f>
        <v>1.724447530122537</v>
      </c>
      <c r="E50" s="80">
        <f t="shared" ref="E50:G50" si="33">(E42*200000)/E45</f>
        <v>1.055351887298972</v>
      </c>
      <c r="F50" s="80">
        <f t="shared" si="33"/>
        <v>2.4485060346256424</v>
      </c>
      <c r="G50" s="82">
        <f t="shared" si="33"/>
        <v>1.6776364390260177</v>
      </c>
      <c r="H50" s="80">
        <f>(H42*200000)/H45</f>
        <v>1.5793993675821698</v>
      </c>
      <c r="I50" s="80">
        <f t="shared" ref="I50:N50" si="34">(I42*200000)/I45</f>
        <v>1.5000009375005858</v>
      </c>
      <c r="J50" s="80">
        <f t="shared" si="34"/>
        <v>2.9550827423167849</v>
      </c>
      <c r="K50" s="82">
        <f t="shared" si="34"/>
        <v>1.66494589223162</v>
      </c>
      <c r="L50" s="80">
        <f t="shared" si="34"/>
        <v>1.0167216826066032</v>
      </c>
      <c r="M50" s="80">
        <f t="shared" si="34"/>
        <v>1.0771581874120602</v>
      </c>
      <c r="N50" s="80">
        <f t="shared" si="34"/>
        <v>0.40066590673699687</v>
      </c>
      <c r="O50" s="80">
        <f>(O42*200000)/O45</f>
        <v>2.5947067981318113</v>
      </c>
      <c r="P50" s="82">
        <f t="shared" ref="P50:T50" si="35">(P42*200000)/P45</f>
        <v>1.021735657729558</v>
      </c>
      <c r="Q50" s="80">
        <f t="shared" si="35"/>
        <v>0.58704600796973661</v>
      </c>
      <c r="R50" s="80">
        <f t="shared" si="35"/>
        <v>0.90721805363926744</v>
      </c>
      <c r="S50" s="80">
        <f t="shared" si="35"/>
        <v>0.28188070808433868</v>
      </c>
      <c r="T50" s="82">
        <f t="shared" si="35"/>
        <v>0.64245176726435205</v>
      </c>
    </row>
    <row r="52" spans="2:22">
      <c r="B52" s="26" t="s">
        <v>225</v>
      </c>
    </row>
    <row r="53" spans="2:22">
      <c r="B53" s="26" t="s">
        <v>226</v>
      </c>
    </row>
    <row r="54" spans="2:22" ht="16" customHeight="1">
      <c r="B54" s="26" t="s">
        <v>227</v>
      </c>
      <c r="C54" s="11"/>
      <c r="D54" s="22"/>
      <c r="E54" s="22"/>
      <c r="F54" s="22"/>
      <c r="G54" s="23"/>
      <c r="H54" s="22"/>
      <c r="I54" s="22"/>
      <c r="J54" s="22"/>
      <c r="K54" s="23"/>
      <c r="L54" s="22"/>
      <c r="M54" s="22"/>
      <c r="N54" s="22"/>
      <c r="O54" s="22"/>
      <c r="P54" s="22"/>
      <c r="Q54" s="22"/>
      <c r="R54" s="22"/>
      <c r="S54" s="22"/>
      <c r="T54" s="22"/>
      <c r="U54" s="22"/>
    </row>
    <row r="55" spans="2:22" ht="16" customHeight="1" thickBot="1">
      <c r="B55" s="27"/>
      <c r="C55" s="28"/>
      <c r="D55" s="27"/>
      <c r="E55" s="27"/>
      <c r="F55" s="27"/>
      <c r="G55" s="27"/>
      <c r="H55" s="27"/>
      <c r="I55" s="27"/>
      <c r="J55" s="27"/>
      <c r="K55" s="27"/>
      <c r="L55" s="27"/>
      <c r="M55" s="27"/>
      <c r="N55" s="29"/>
      <c r="O55" s="29"/>
      <c r="P55" s="29"/>
      <c r="Q55" s="29"/>
      <c r="R55" s="29"/>
      <c r="S55" s="29"/>
      <c r="T55" s="29"/>
      <c r="U55" s="22"/>
      <c r="V55" s="22"/>
    </row>
    <row r="56" spans="2:22">
      <c r="B56" s="66"/>
    </row>
    <row r="57" spans="2:22">
      <c r="B57" s="66"/>
    </row>
    <row r="58" spans="2:22" ht="21">
      <c r="B58" s="66"/>
      <c r="C58" s="77"/>
    </row>
    <row r="59" spans="2:22" ht="21">
      <c r="B59" s="66"/>
      <c r="C59" s="77"/>
    </row>
    <row r="60" spans="2:22">
      <c r="B60" s="66"/>
    </row>
    <row r="61" spans="2:22">
      <c r="B61" s="66"/>
    </row>
    <row r="62" spans="2:22" ht="21">
      <c r="B62" s="66"/>
      <c r="C62" s="77"/>
    </row>
    <row r="63" spans="2:22" ht="19">
      <c r="B63" s="66"/>
      <c r="C63" s="78"/>
    </row>
    <row r="64" spans="2:22" ht="19">
      <c r="B64" s="66"/>
      <c r="C64" s="78"/>
    </row>
    <row r="65" spans="2:2">
      <c r="B65" s="66"/>
    </row>
    <row r="66" spans="2:2">
      <c r="B66" s="66"/>
    </row>
    <row r="67" spans="2:2">
      <c r="B67" s="66"/>
    </row>
    <row r="68" spans="2:2">
      <c r="B68" s="66"/>
    </row>
    <row r="69" spans="2:2">
      <c r="B69" s="66"/>
    </row>
    <row r="70" spans="2:2">
      <c r="B70" s="66"/>
    </row>
    <row r="71" spans="2:2">
      <c r="B71" s="66"/>
    </row>
    <row r="72" spans="2:2">
      <c r="B72" s="66"/>
    </row>
    <row r="73" spans="2:2">
      <c r="B73" s="66"/>
    </row>
    <row r="74" spans="2:2">
      <c r="B74" s="66"/>
    </row>
    <row r="75" spans="2:2">
      <c r="B75" s="66"/>
    </row>
    <row r="76" spans="2:2">
      <c r="B76" s="66"/>
    </row>
    <row r="77" spans="2:2">
      <c r="B77" s="66"/>
    </row>
    <row r="78" spans="2:2">
      <c r="B78" s="66"/>
    </row>
    <row r="79" spans="2:2">
      <c r="B79" s="66"/>
    </row>
    <row r="80" spans="2:2">
      <c r="B80" s="66"/>
    </row>
    <row r="81" spans="2:2">
      <c r="B81" s="66"/>
    </row>
    <row r="82" spans="2:2">
      <c r="B82" s="66"/>
    </row>
    <row r="83" spans="2:2">
      <c r="B83" s="66"/>
    </row>
    <row r="84" spans="2:2">
      <c r="B84" s="66"/>
    </row>
    <row r="85" spans="2:2">
      <c r="B85" s="66"/>
    </row>
    <row r="86" spans="2:2">
      <c r="B86" s="66"/>
    </row>
    <row r="87" spans="2:2">
      <c r="B87" s="66"/>
    </row>
    <row r="88" spans="2:2">
      <c r="B88" s="66"/>
    </row>
    <row r="89" spans="2:2">
      <c r="B89" s="66"/>
    </row>
    <row r="90" spans="2:2">
      <c r="B90" s="66"/>
    </row>
    <row r="91" spans="2:2">
      <c r="B91" s="66"/>
    </row>
    <row r="92" spans="2:2">
      <c r="B92" s="66"/>
    </row>
    <row r="93" spans="2:2">
      <c r="B93" s="66"/>
    </row>
    <row r="94" spans="2:2">
      <c r="B94" s="66"/>
    </row>
    <row r="95" spans="2:2">
      <c r="B95" s="66"/>
    </row>
    <row r="96" spans="2:2">
      <c r="B96" s="66"/>
    </row>
    <row r="97" spans="2:2">
      <c r="B97" s="66"/>
    </row>
    <row r="98" spans="2:2">
      <c r="B98" s="66"/>
    </row>
    <row r="99" spans="2:2">
      <c r="B99" s="66"/>
    </row>
    <row r="100" spans="2:2">
      <c r="B100" s="66"/>
    </row>
    <row r="101" spans="2:2">
      <c r="B101" s="66"/>
    </row>
    <row r="102" spans="2:2">
      <c r="B102" s="66"/>
    </row>
    <row r="103" spans="2:2">
      <c r="B103" s="66"/>
    </row>
    <row r="104" spans="2:2">
      <c r="B104" s="66"/>
    </row>
    <row r="105" spans="2:2">
      <c r="B105" s="66"/>
    </row>
    <row r="106" spans="2:2">
      <c r="B106" s="66"/>
    </row>
    <row r="107" spans="2:2">
      <c r="B107" s="66"/>
    </row>
    <row r="108" spans="2:2">
      <c r="B108" s="66"/>
    </row>
    <row r="109" spans="2:2">
      <c r="B109" s="66"/>
    </row>
    <row r="110" spans="2:2">
      <c r="B110" s="66"/>
    </row>
    <row r="111" spans="2:2">
      <c r="B111" s="66"/>
    </row>
    <row r="112" spans="2:2">
      <c r="B112" s="66"/>
    </row>
    <row r="113" spans="2:2">
      <c r="B113" s="66"/>
    </row>
    <row r="114" spans="2:2">
      <c r="B114" s="66"/>
    </row>
    <row r="115" spans="2:2">
      <c r="B115" s="66"/>
    </row>
    <row r="116" spans="2:2">
      <c r="B116" s="66"/>
    </row>
    <row r="117" spans="2:2">
      <c r="B117" s="66"/>
    </row>
    <row r="118" spans="2:2">
      <c r="B118" s="66"/>
    </row>
    <row r="119" spans="2:2">
      <c r="B119" s="66"/>
    </row>
    <row r="120" spans="2:2">
      <c r="B120" s="66"/>
    </row>
    <row r="121" spans="2:2">
      <c r="B121" s="66"/>
    </row>
    <row r="122" spans="2:2">
      <c r="B122" s="66"/>
    </row>
    <row r="123" spans="2:2">
      <c r="B123" s="66"/>
    </row>
    <row r="124" spans="2:2">
      <c r="B124" s="66"/>
    </row>
    <row r="125" spans="2:2">
      <c r="B125" s="66"/>
    </row>
    <row r="126" spans="2:2">
      <c r="B126" s="66"/>
    </row>
    <row r="127" spans="2:2">
      <c r="B127" s="66"/>
    </row>
    <row r="128" spans="2:2">
      <c r="B128" s="66"/>
    </row>
    <row r="129" spans="2:2">
      <c r="B129" s="66"/>
    </row>
    <row r="130" spans="2:2">
      <c r="B130" s="66"/>
    </row>
    <row r="131" spans="2:2">
      <c r="B131" s="66"/>
    </row>
    <row r="132" spans="2:2">
      <c r="B132" s="66"/>
    </row>
    <row r="133" spans="2:2">
      <c r="B133" s="66"/>
    </row>
    <row r="134" spans="2:2">
      <c r="B134" s="66"/>
    </row>
    <row r="135" spans="2:2">
      <c r="B135" s="66"/>
    </row>
    <row r="136" spans="2:2">
      <c r="B136" s="66"/>
    </row>
    <row r="137" spans="2:2">
      <c r="B137" s="66"/>
    </row>
    <row r="138" spans="2:2">
      <c r="B138" s="66"/>
    </row>
    <row r="139" spans="2:2">
      <c r="B139" s="66"/>
    </row>
    <row r="140" spans="2:2">
      <c r="B140" s="66"/>
    </row>
    <row r="141" spans="2:2">
      <c r="B141" s="66"/>
    </row>
    <row r="142" spans="2:2">
      <c r="B142" s="66"/>
    </row>
    <row r="143" spans="2:2">
      <c r="B143" s="66"/>
    </row>
    <row r="144" spans="2:2">
      <c r="B144" s="66"/>
    </row>
    <row r="145" spans="2:2">
      <c r="B145" s="66"/>
    </row>
    <row r="146" spans="2:2">
      <c r="B146" s="66"/>
    </row>
    <row r="147" spans="2:2">
      <c r="B147" s="66"/>
    </row>
    <row r="148" spans="2:2">
      <c r="B148" s="66"/>
    </row>
    <row r="149" spans="2:2">
      <c r="B149" s="66"/>
    </row>
    <row r="150" spans="2:2">
      <c r="B150" s="66"/>
    </row>
    <row r="151" spans="2:2">
      <c r="B151" s="66"/>
    </row>
    <row r="152" spans="2:2">
      <c r="B152" s="66"/>
    </row>
    <row r="153" spans="2:2">
      <c r="B153" s="66"/>
    </row>
    <row r="154" spans="2:2">
      <c r="B154" s="66"/>
    </row>
    <row r="155" spans="2:2">
      <c r="B155" s="66"/>
    </row>
    <row r="156" spans="2:2">
      <c r="B156" s="66"/>
    </row>
    <row r="157" spans="2:2">
      <c r="B157" s="66"/>
    </row>
    <row r="158" spans="2:2">
      <c r="B158" s="66"/>
    </row>
    <row r="159" spans="2:2">
      <c r="B159" s="66"/>
    </row>
    <row r="160" spans="2:2">
      <c r="B160" s="66"/>
    </row>
    <row r="161" spans="2:2">
      <c r="B161" s="66"/>
    </row>
    <row r="162" spans="2:2">
      <c r="B162" s="66"/>
    </row>
    <row r="163" spans="2:2">
      <c r="B163" s="66"/>
    </row>
    <row r="164" spans="2:2">
      <c r="B164" s="66"/>
    </row>
    <row r="165" spans="2:2">
      <c r="B165" s="66"/>
    </row>
    <row r="166" spans="2:2">
      <c r="B166" s="66"/>
    </row>
    <row r="167" spans="2:2">
      <c r="B167" s="66"/>
    </row>
    <row r="168" spans="2:2">
      <c r="B168" s="66"/>
    </row>
    <row r="169" spans="2:2">
      <c r="B169" s="66"/>
    </row>
    <row r="170" spans="2:2">
      <c r="B170" s="66"/>
    </row>
    <row r="171" spans="2:2">
      <c r="B171" s="66"/>
    </row>
    <row r="172" spans="2:2">
      <c r="B172" s="66"/>
    </row>
    <row r="173" spans="2:2">
      <c r="B173" s="66"/>
    </row>
    <row r="174" spans="2:2">
      <c r="B174" s="66"/>
    </row>
    <row r="175" spans="2:2">
      <c r="B175" s="66"/>
    </row>
    <row r="176" spans="2:2">
      <c r="B176" s="66"/>
    </row>
    <row r="177" spans="2:2">
      <c r="B177" s="66"/>
    </row>
    <row r="178" spans="2:2">
      <c r="B178" s="66"/>
    </row>
    <row r="179" spans="2:2">
      <c r="B179" s="66"/>
    </row>
    <row r="180" spans="2:2">
      <c r="B180" s="66"/>
    </row>
    <row r="181" spans="2:2">
      <c r="B181" s="66"/>
    </row>
    <row r="182" spans="2:2">
      <c r="B182" s="66"/>
    </row>
    <row r="183" spans="2:2">
      <c r="B183" s="66"/>
    </row>
    <row r="184" spans="2:2">
      <c r="B184" s="66"/>
    </row>
    <row r="185" spans="2:2">
      <c r="B185" s="66"/>
    </row>
    <row r="186" spans="2:2">
      <c r="B186" s="66"/>
    </row>
    <row r="187" spans="2:2">
      <c r="B187" s="66"/>
    </row>
    <row r="188" spans="2:2">
      <c r="B188" s="66"/>
    </row>
    <row r="189" spans="2:2">
      <c r="B189" s="66"/>
    </row>
    <row r="190" spans="2:2">
      <c r="B190" s="66"/>
    </row>
    <row r="191" spans="2:2">
      <c r="B191" s="66"/>
    </row>
    <row r="192" spans="2:2">
      <c r="B192" s="66"/>
    </row>
    <row r="193" spans="2:2">
      <c r="B193" s="66"/>
    </row>
    <row r="194" spans="2:2">
      <c r="B194" s="66"/>
    </row>
    <row r="195" spans="2:2">
      <c r="B195" s="66"/>
    </row>
    <row r="196" spans="2:2">
      <c r="B196" s="66"/>
    </row>
    <row r="197" spans="2:2">
      <c r="B197" s="66"/>
    </row>
    <row r="198" spans="2:2">
      <c r="B198" s="66"/>
    </row>
    <row r="199" spans="2:2">
      <c r="B199" s="66"/>
    </row>
    <row r="200" spans="2:2">
      <c r="B200" s="66"/>
    </row>
    <row r="201" spans="2:2">
      <c r="B201" s="66"/>
    </row>
    <row r="202" spans="2:2">
      <c r="B202" s="66"/>
    </row>
    <row r="203" spans="2:2">
      <c r="B203" s="66"/>
    </row>
    <row r="204" spans="2:2">
      <c r="B204" s="66"/>
    </row>
    <row r="205" spans="2:2">
      <c r="B205" s="66"/>
    </row>
    <row r="206" spans="2:2">
      <c r="B206" s="66"/>
    </row>
    <row r="207" spans="2:2">
      <c r="B207" s="66"/>
    </row>
    <row r="208" spans="2:2">
      <c r="B208" s="66"/>
    </row>
    <row r="209" spans="2:2">
      <c r="B209" s="66"/>
    </row>
    <row r="210" spans="2:2">
      <c r="B210" s="66"/>
    </row>
    <row r="211" spans="2:2">
      <c r="B211" s="66"/>
    </row>
    <row r="212" spans="2:2">
      <c r="B212" s="66"/>
    </row>
    <row r="213" spans="2:2">
      <c r="B213" s="66"/>
    </row>
    <row r="214" spans="2:2">
      <c r="B214" s="66"/>
    </row>
    <row r="215" spans="2:2">
      <c r="B215" s="66"/>
    </row>
    <row r="216" spans="2:2">
      <c r="B216" s="66"/>
    </row>
    <row r="217" spans="2:2">
      <c r="B217" s="66"/>
    </row>
    <row r="218" spans="2:2">
      <c r="B218" s="66"/>
    </row>
    <row r="219" spans="2:2">
      <c r="B219" s="66"/>
    </row>
    <row r="220" spans="2:2">
      <c r="B220" s="66"/>
    </row>
    <row r="221" spans="2:2">
      <c r="B221" s="66"/>
    </row>
    <row r="222" spans="2:2">
      <c r="B222" s="66"/>
    </row>
    <row r="223" spans="2:2">
      <c r="B223" s="66"/>
    </row>
    <row r="224" spans="2:2">
      <c r="B224" s="66"/>
    </row>
    <row r="225" spans="2:2">
      <c r="B225" s="66"/>
    </row>
    <row r="226" spans="2:2">
      <c r="B226" s="66"/>
    </row>
    <row r="227" spans="2:2">
      <c r="B227" s="66"/>
    </row>
    <row r="228" spans="2:2">
      <c r="B228" s="66"/>
    </row>
    <row r="229" spans="2:2">
      <c r="B229" s="66"/>
    </row>
    <row r="230" spans="2:2">
      <c r="B230" s="66"/>
    </row>
    <row r="231" spans="2:2">
      <c r="B231" s="66"/>
    </row>
    <row r="232" spans="2:2">
      <c r="B232" s="66"/>
    </row>
    <row r="233" spans="2:2">
      <c r="B233" s="66"/>
    </row>
    <row r="234" spans="2:2">
      <c r="B234" s="66"/>
    </row>
    <row r="235" spans="2:2">
      <c r="B235" s="66"/>
    </row>
    <row r="236" spans="2:2">
      <c r="B236" s="66"/>
    </row>
    <row r="237" spans="2:2">
      <c r="B237" s="66"/>
    </row>
    <row r="238" spans="2:2">
      <c r="B238" s="66"/>
    </row>
    <row r="239" spans="2:2">
      <c r="B239" s="66"/>
    </row>
    <row r="240" spans="2:2">
      <c r="B240" s="66"/>
    </row>
    <row r="241" spans="2:2">
      <c r="B241" s="66"/>
    </row>
    <row r="242" spans="2:2">
      <c r="B242" s="66"/>
    </row>
    <row r="243" spans="2:2">
      <c r="B243" s="66"/>
    </row>
    <row r="244" spans="2:2">
      <c r="B244" s="66"/>
    </row>
    <row r="245" spans="2:2">
      <c r="B245" s="66"/>
    </row>
    <row r="246" spans="2:2">
      <c r="B246" s="66"/>
    </row>
    <row r="247" spans="2:2">
      <c r="B247" s="66"/>
    </row>
    <row r="248" spans="2:2">
      <c r="B248" s="66"/>
    </row>
    <row r="249" spans="2:2">
      <c r="B249" s="66"/>
    </row>
    <row r="250" spans="2:2">
      <c r="B250" s="66"/>
    </row>
    <row r="251" spans="2:2">
      <c r="B251" s="66"/>
    </row>
    <row r="252" spans="2:2">
      <c r="B252" s="66"/>
    </row>
    <row r="253" spans="2:2">
      <c r="B253" s="66"/>
    </row>
    <row r="254" spans="2:2">
      <c r="B254" s="66"/>
    </row>
    <row r="255" spans="2:2">
      <c r="B255" s="66"/>
    </row>
    <row r="256" spans="2:2">
      <c r="B256" s="66"/>
    </row>
    <row r="257" spans="2:2">
      <c r="B257" s="66"/>
    </row>
    <row r="258" spans="2:2">
      <c r="B258" s="66"/>
    </row>
    <row r="259" spans="2:2">
      <c r="B259" s="66"/>
    </row>
    <row r="260" spans="2:2">
      <c r="B260" s="66"/>
    </row>
    <row r="261" spans="2:2">
      <c r="B261" s="66"/>
    </row>
    <row r="262" spans="2:2">
      <c r="B262" s="66"/>
    </row>
    <row r="263" spans="2:2">
      <c r="B263" s="66"/>
    </row>
    <row r="264" spans="2:2">
      <c r="B264" s="66"/>
    </row>
    <row r="265" spans="2:2">
      <c r="B265" s="66"/>
    </row>
    <row r="266" spans="2:2">
      <c r="B266" s="66"/>
    </row>
    <row r="267" spans="2:2">
      <c r="B267" s="66"/>
    </row>
    <row r="268" spans="2:2">
      <c r="B268" s="66"/>
    </row>
    <row r="269" spans="2:2">
      <c r="B269" s="66"/>
    </row>
    <row r="270" spans="2:2">
      <c r="B270" s="66"/>
    </row>
    <row r="271" spans="2:2">
      <c r="B271" s="66"/>
    </row>
    <row r="272" spans="2:2">
      <c r="B272" s="66"/>
    </row>
    <row r="273" spans="2:2">
      <c r="B273" s="66"/>
    </row>
    <row r="274" spans="2:2">
      <c r="B274" s="66"/>
    </row>
    <row r="275" spans="2:2">
      <c r="B275" s="66"/>
    </row>
    <row r="276" spans="2:2">
      <c r="B276" s="66"/>
    </row>
    <row r="277" spans="2:2">
      <c r="B277" s="66"/>
    </row>
    <row r="278" spans="2:2">
      <c r="B278" s="66"/>
    </row>
    <row r="279" spans="2:2">
      <c r="B279" s="66"/>
    </row>
    <row r="280" spans="2:2">
      <c r="B280" s="66"/>
    </row>
    <row r="281" spans="2:2">
      <c r="B281" s="66"/>
    </row>
    <row r="282" spans="2:2">
      <c r="B282" s="66"/>
    </row>
    <row r="283" spans="2:2">
      <c r="B283" s="66"/>
    </row>
    <row r="284" spans="2:2">
      <c r="B284" s="66"/>
    </row>
    <row r="285" spans="2:2">
      <c r="B285" s="66"/>
    </row>
    <row r="286" spans="2:2">
      <c r="B286" s="66"/>
    </row>
    <row r="287" spans="2:2">
      <c r="B287" s="66"/>
    </row>
    <row r="288" spans="2:2">
      <c r="B288" s="66"/>
    </row>
    <row r="289" spans="2:2">
      <c r="B289" s="66"/>
    </row>
    <row r="290" spans="2:2">
      <c r="B290" s="66"/>
    </row>
    <row r="291" spans="2:2">
      <c r="B291" s="66"/>
    </row>
    <row r="292" spans="2:2">
      <c r="B292" s="66"/>
    </row>
    <row r="293" spans="2:2">
      <c r="B293" s="66"/>
    </row>
    <row r="294" spans="2:2">
      <c r="B294" s="66"/>
    </row>
    <row r="295" spans="2:2">
      <c r="B295" s="66"/>
    </row>
    <row r="296" spans="2:2">
      <c r="B296" s="66"/>
    </row>
    <row r="297" spans="2:2">
      <c r="B297" s="66"/>
    </row>
    <row r="298" spans="2:2">
      <c r="B298" s="66"/>
    </row>
    <row r="299" spans="2:2">
      <c r="B299" s="66"/>
    </row>
    <row r="300" spans="2:2">
      <c r="B300" s="66"/>
    </row>
    <row r="301" spans="2:2">
      <c r="B301" s="66"/>
    </row>
    <row r="302" spans="2:2">
      <c r="B302" s="66"/>
    </row>
    <row r="303" spans="2:2">
      <c r="B303" s="66"/>
    </row>
    <row r="304" spans="2:2">
      <c r="B304" s="66"/>
    </row>
    <row r="305" spans="2:2">
      <c r="B305" s="66"/>
    </row>
    <row r="306" spans="2:2">
      <c r="B306" s="66"/>
    </row>
    <row r="307" spans="2:2">
      <c r="B307" s="66"/>
    </row>
    <row r="308" spans="2:2">
      <c r="B308" s="66"/>
    </row>
    <row r="309" spans="2:2">
      <c r="B309" s="66"/>
    </row>
    <row r="310" spans="2:2">
      <c r="B310" s="66"/>
    </row>
    <row r="311" spans="2:2">
      <c r="B311" s="66"/>
    </row>
    <row r="312" spans="2:2">
      <c r="B312" s="66"/>
    </row>
    <row r="313" spans="2:2">
      <c r="B313" s="66"/>
    </row>
    <row r="314" spans="2:2">
      <c r="B314" s="66"/>
    </row>
    <row r="315" spans="2:2">
      <c r="B315" s="66"/>
    </row>
    <row r="316" spans="2:2">
      <c r="B316" s="66"/>
    </row>
    <row r="317" spans="2:2">
      <c r="B317" s="66"/>
    </row>
    <row r="318" spans="2:2">
      <c r="B318" s="66"/>
    </row>
    <row r="319" spans="2:2">
      <c r="B319" s="66"/>
    </row>
    <row r="320" spans="2:2">
      <c r="B320" s="66"/>
    </row>
    <row r="321" spans="2:2">
      <c r="B321" s="66"/>
    </row>
    <row r="322" spans="2:2">
      <c r="B322" s="66"/>
    </row>
    <row r="323" spans="2:2">
      <c r="B323" s="66"/>
    </row>
    <row r="324" spans="2:2">
      <c r="B324" s="66"/>
    </row>
    <row r="325" spans="2:2">
      <c r="B325" s="66"/>
    </row>
    <row r="326" spans="2:2">
      <c r="B326" s="66"/>
    </row>
    <row r="327" spans="2:2">
      <c r="B327" s="66"/>
    </row>
    <row r="328" spans="2:2">
      <c r="B328" s="66"/>
    </row>
    <row r="329" spans="2:2">
      <c r="B329" s="66"/>
    </row>
    <row r="330" spans="2:2">
      <c r="B330" s="66"/>
    </row>
    <row r="331" spans="2:2">
      <c r="B331" s="66"/>
    </row>
    <row r="332" spans="2:2">
      <c r="B332" s="66"/>
    </row>
    <row r="333" spans="2:2">
      <c r="B333" s="66"/>
    </row>
    <row r="334" spans="2:2">
      <c r="B334" s="66"/>
    </row>
    <row r="335" spans="2:2">
      <c r="B335" s="66"/>
    </row>
    <row r="336" spans="2:2">
      <c r="B336" s="66"/>
    </row>
    <row r="337" spans="2:2">
      <c r="B337" s="66"/>
    </row>
    <row r="338" spans="2:2">
      <c r="B338" s="66"/>
    </row>
    <row r="339" spans="2:2">
      <c r="B339" s="66"/>
    </row>
    <row r="340" spans="2:2">
      <c r="B340" s="66"/>
    </row>
    <row r="341" spans="2:2">
      <c r="B341" s="66"/>
    </row>
    <row r="342" spans="2:2">
      <c r="B342" s="66"/>
    </row>
    <row r="343" spans="2:2">
      <c r="B343" s="66"/>
    </row>
    <row r="344" spans="2:2">
      <c r="B344" s="66"/>
    </row>
    <row r="345" spans="2:2">
      <c r="B345" s="66"/>
    </row>
    <row r="346" spans="2:2">
      <c r="B346" s="66"/>
    </row>
    <row r="347" spans="2:2">
      <c r="B347" s="66"/>
    </row>
    <row r="348" spans="2:2">
      <c r="B348" s="66"/>
    </row>
    <row r="349" spans="2:2">
      <c r="B349" s="66"/>
    </row>
    <row r="350" spans="2:2">
      <c r="B350" s="66"/>
    </row>
    <row r="351" spans="2:2">
      <c r="B351" s="66"/>
    </row>
    <row r="352" spans="2:2">
      <c r="B352" s="66"/>
    </row>
    <row r="353" spans="2:2">
      <c r="B353" s="66"/>
    </row>
    <row r="354" spans="2:2">
      <c r="B354" s="66"/>
    </row>
    <row r="355" spans="2:2">
      <c r="B355" s="66"/>
    </row>
    <row r="356" spans="2:2">
      <c r="B356" s="66"/>
    </row>
    <row r="357" spans="2:2">
      <c r="B357" s="66"/>
    </row>
    <row r="358" spans="2:2">
      <c r="B358" s="66"/>
    </row>
    <row r="359" spans="2:2">
      <c r="B359" s="66"/>
    </row>
    <row r="360" spans="2:2">
      <c r="B360" s="66"/>
    </row>
    <row r="361" spans="2:2">
      <c r="B361" s="66"/>
    </row>
    <row r="362" spans="2:2">
      <c r="B362" s="66"/>
    </row>
    <row r="363" spans="2:2">
      <c r="B363" s="66"/>
    </row>
    <row r="364" spans="2:2">
      <c r="B364" s="66"/>
    </row>
    <row r="365" spans="2:2">
      <c r="B365" s="66"/>
    </row>
    <row r="366" spans="2:2">
      <c r="B366" s="66"/>
    </row>
    <row r="367" spans="2:2">
      <c r="B367" s="66"/>
    </row>
    <row r="368" spans="2:2">
      <c r="B368" s="66"/>
    </row>
    <row r="369" spans="2:2">
      <c r="B369" s="66"/>
    </row>
    <row r="370" spans="2:2">
      <c r="B370" s="66"/>
    </row>
    <row r="371" spans="2:2">
      <c r="B371" s="66"/>
    </row>
    <row r="372" spans="2:2">
      <c r="B372" s="66"/>
    </row>
    <row r="373" spans="2:2">
      <c r="B373" s="66"/>
    </row>
    <row r="374" spans="2:2">
      <c r="B374" s="66"/>
    </row>
    <row r="375" spans="2:2">
      <c r="B375" s="66"/>
    </row>
    <row r="376" spans="2:2">
      <c r="B376" s="66"/>
    </row>
    <row r="377" spans="2:2">
      <c r="B377" s="66"/>
    </row>
    <row r="378" spans="2:2">
      <c r="B378" s="66"/>
    </row>
    <row r="379" spans="2:2">
      <c r="B379" s="66"/>
    </row>
    <row r="380" spans="2:2">
      <c r="B380" s="66"/>
    </row>
    <row r="381" spans="2:2">
      <c r="B381" s="66"/>
    </row>
    <row r="382" spans="2:2">
      <c r="B382" s="66"/>
    </row>
    <row r="383" spans="2:2">
      <c r="B383" s="66"/>
    </row>
    <row r="384" spans="2:2">
      <c r="B384" s="66"/>
    </row>
    <row r="385" spans="2:2">
      <c r="B385" s="66"/>
    </row>
    <row r="386" spans="2:2">
      <c r="B386" s="66"/>
    </row>
    <row r="387" spans="2:2">
      <c r="B387" s="66"/>
    </row>
    <row r="388" spans="2:2">
      <c r="B388" s="66"/>
    </row>
    <row r="389" spans="2:2">
      <c r="B389" s="66"/>
    </row>
    <row r="390" spans="2:2">
      <c r="B390" s="66"/>
    </row>
    <row r="391" spans="2:2">
      <c r="B391" s="66"/>
    </row>
    <row r="392" spans="2:2">
      <c r="B392" s="66"/>
    </row>
    <row r="393" spans="2:2">
      <c r="B393" s="66"/>
    </row>
    <row r="394" spans="2:2">
      <c r="B394" s="66"/>
    </row>
    <row r="395" spans="2:2">
      <c r="B395" s="66"/>
    </row>
    <row r="396" spans="2:2">
      <c r="B396" s="66"/>
    </row>
    <row r="397" spans="2:2">
      <c r="B397" s="66"/>
    </row>
    <row r="398" spans="2:2">
      <c r="B398" s="66"/>
    </row>
    <row r="399" spans="2:2">
      <c r="B399" s="66"/>
    </row>
    <row r="400" spans="2:2">
      <c r="B400" s="66"/>
    </row>
    <row r="401" spans="2:2">
      <c r="B401" s="66"/>
    </row>
    <row r="402" spans="2:2">
      <c r="B402" s="66"/>
    </row>
    <row r="403" spans="2:2">
      <c r="B403" s="66"/>
    </row>
    <row r="404" spans="2:2">
      <c r="B404" s="66"/>
    </row>
    <row r="405" spans="2:2">
      <c r="B405" s="66"/>
    </row>
    <row r="406" spans="2:2">
      <c r="B406" s="66"/>
    </row>
    <row r="407" spans="2:2">
      <c r="B407" s="66"/>
    </row>
    <row r="408" spans="2:2">
      <c r="B408" s="66"/>
    </row>
    <row r="409" spans="2:2">
      <c r="B409" s="66"/>
    </row>
    <row r="410" spans="2:2">
      <c r="B410" s="66"/>
    </row>
    <row r="411" spans="2:2">
      <c r="B411" s="66"/>
    </row>
    <row r="412" spans="2:2">
      <c r="B412" s="66"/>
    </row>
    <row r="413" spans="2:2">
      <c r="B413" s="66"/>
    </row>
    <row r="414" spans="2:2">
      <c r="B414" s="66"/>
    </row>
    <row r="415" spans="2:2">
      <c r="B415" s="66"/>
    </row>
    <row r="416" spans="2:2">
      <c r="B416" s="66"/>
    </row>
    <row r="417" spans="2:2">
      <c r="B417" s="66"/>
    </row>
    <row r="418" spans="2:2">
      <c r="B418" s="66"/>
    </row>
    <row r="419" spans="2:2">
      <c r="B419" s="66"/>
    </row>
    <row r="420" spans="2:2">
      <c r="B420" s="66"/>
    </row>
    <row r="421" spans="2:2">
      <c r="B421" s="66"/>
    </row>
    <row r="422" spans="2:2">
      <c r="B422" s="66"/>
    </row>
    <row r="423" spans="2:2">
      <c r="B423" s="66"/>
    </row>
    <row r="424" spans="2:2">
      <c r="B424" s="66"/>
    </row>
    <row r="425" spans="2:2">
      <c r="B425" s="66"/>
    </row>
    <row r="426" spans="2:2">
      <c r="B426" s="66"/>
    </row>
    <row r="427" spans="2:2">
      <c r="B427" s="66"/>
    </row>
    <row r="428" spans="2:2">
      <c r="B428" s="66"/>
    </row>
    <row r="429" spans="2:2">
      <c r="B429" s="66"/>
    </row>
    <row r="430" spans="2:2">
      <c r="B430" s="66"/>
    </row>
    <row r="431" spans="2:2">
      <c r="B431" s="66"/>
    </row>
    <row r="432" spans="2:2">
      <c r="B432" s="66"/>
    </row>
    <row r="433" spans="2:2">
      <c r="B433" s="66"/>
    </row>
    <row r="434" spans="2:2">
      <c r="B434" s="66"/>
    </row>
    <row r="435" spans="2:2">
      <c r="B435" s="66"/>
    </row>
    <row r="436" spans="2:2">
      <c r="B436" s="66"/>
    </row>
    <row r="437" spans="2:2">
      <c r="B437" s="66"/>
    </row>
    <row r="438" spans="2:2">
      <c r="B438" s="66"/>
    </row>
    <row r="439" spans="2:2">
      <c r="B439" s="66"/>
    </row>
    <row r="440" spans="2:2">
      <c r="B440" s="66"/>
    </row>
    <row r="441" spans="2:2">
      <c r="B441" s="66"/>
    </row>
    <row r="442" spans="2:2">
      <c r="B442" s="66"/>
    </row>
    <row r="443" spans="2:2">
      <c r="B443" s="66"/>
    </row>
    <row r="444" spans="2:2">
      <c r="B444" s="66"/>
    </row>
    <row r="445" spans="2:2">
      <c r="B445" s="66"/>
    </row>
    <row r="446" spans="2:2">
      <c r="B446" s="66"/>
    </row>
    <row r="447" spans="2:2">
      <c r="B447" s="66"/>
    </row>
    <row r="448" spans="2:2">
      <c r="B448" s="66"/>
    </row>
    <row r="449" spans="2:2">
      <c r="B449" s="66"/>
    </row>
    <row r="450" spans="2:2">
      <c r="B450" s="66"/>
    </row>
    <row r="451" spans="2:2">
      <c r="B451" s="66"/>
    </row>
    <row r="452" spans="2:2">
      <c r="B452" s="66"/>
    </row>
    <row r="453" spans="2:2">
      <c r="B453" s="66"/>
    </row>
    <row r="454" spans="2:2">
      <c r="B454" s="66"/>
    </row>
    <row r="455" spans="2:2">
      <c r="B455" s="66"/>
    </row>
    <row r="456" spans="2:2">
      <c r="B456" s="66"/>
    </row>
    <row r="457" spans="2:2">
      <c r="B457" s="66"/>
    </row>
    <row r="458" spans="2:2">
      <c r="B458" s="66"/>
    </row>
    <row r="459" spans="2:2">
      <c r="B459" s="66"/>
    </row>
    <row r="460" spans="2:2">
      <c r="B460" s="66"/>
    </row>
    <row r="461" spans="2:2">
      <c r="B461" s="66"/>
    </row>
    <row r="462" spans="2:2">
      <c r="B462" s="66"/>
    </row>
    <row r="463" spans="2:2">
      <c r="B463" s="66"/>
    </row>
    <row r="464" spans="2:2">
      <c r="B464" s="66"/>
    </row>
    <row r="465" spans="2:2">
      <c r="B465" s="66"/>
    </row>
    <row r="466" spans="2:2">
      <c r="B466" s="66"/>
    </row>
    <row r="467" spans="2:2">
      <c r="B467" s="66"/>
    </row>
    <row r="468" spans="2:2">
      <c r="B468" s="66"/>
    </row>
    <row r="469" spans="2:2">
      <c r="B469" s="66"/>
    </row>
    <row r="470" spans="2:2">
      <c r="B470" s="66"/>
    </row>
    <row r="471" spans="2:2">
      <c r="B471" s="66"/>
    </row>
    <row r="472" spans="2:2">
      <c r="B472" s="66"/>
    </row>
    <row r="473" spans="2:2">
      <c r="B473" s="66"/>
    </row>
    <row r="474" spans="2:2">
      <c r="B474" s="66"/>
    </row>
    <row r="475" spans="2:2">
      <c r="B475" s="66"/>
    </row>
    <row r="476" spans="2:2">
      <c r="B476" s="66"/>
    </row>
    <row r="477" spans="2:2">
      <c r="B477" s="66"/>
    </row>
    <row r="478" spans="2:2">
      <c r="B478" s="66"/>
    </row>
    <row r="479" spans="2:2">
      <c r="B479" s="66"/>
    </row>
    <row r="480" spans="2:2">
      <c r="B480" s="66"/>
    </row>
    <row r="481" spans="2:2">
      <c r="B481" s="66"/>
    </row>
    <row r="482" spans="2:2">
      <c r="B482" s="66"/>
    </row>
    <row r="483" spans="2:2">
      <c r="B483" s="66"/>
    </row>
    <row r="484" spans="2:2">
      <c r="B484" s="66"/>
    </row>
    <row r="485" spans="2:2">
      <c r="B485" s="66"/>
    </row>
    <row r="486" spans="2:2">
      <c r="B486" s="66"/>
    </row>
    <row r="487" spans="2:2">
      <c r="B487" s="66"/>
    </row>
    <row r="488" spans="2:2">
      <c r="B488" s="66"/>
    </row>
    <row r="489" spans="2:2">
      <c r="B489" s="66"/>
    </row>
    <row r="490" spans="2:2">
      <c r="B490" s="66"/>
    </row>
    <row r="491" spans="2:2">
      <c r="B491" s="66"/>
    </row>
    <row r="492" spans="2:2">
      <c r="B492" s="66"/>
    </row>
    <row r="493" spans="2:2">
      <c r="B493" s="66"/>
    </row>
    <row r="494" spans="2:2">
      <c r="B494" s="66"/>
    </row>
    <row r="495" spans="2:2">
      <c r="B495" s="66"/>
    </row>
    <row r="496" spans="2:2">
      <c r="B496" s="66"/>
    </row>
    <row r="497" spans="2:2">
      <c r="B497" s="66"/>
    </row>
    <row r="498" spans="2:2">
      <c r="B498" s="66"/>
    </row>
    <row r="499" spans="2:2">
      <c r="B499" s="66"/>
    </row>
    <row r="500" spans="2:2">
      <c r="B500" s="66"/>
    </row>
    <row r="501" spans="2:2">
      <c r="B501" s="66"/>
    </row>
    <row r="502" spans="2:2">
      <c r="B502" s="66"/>
    </row>
    <row r="503" spans="2:2">
      <c r="B503" s="66"/>
    </row>
    <row r="504" spans="2:2">
      <c r="B504" s="66"/>
    </row>
    <row r="505" spans="2:2">
      <c r="B505" s="66"/>
    </row>
    <row r="506" spans="2:2">
      <c r="B506" s="66"/>
    </row>
    <row r="507" spans="2:2">
      <c r="B507" s="66"/>
    </row>
    <row r="508" spans="2:2">
      <c r="B508" s="66"/>
    </row>
    <row r="509" spans="2:2">
      <c r="B509" s="66"/>
    </row>
    <row r="510" spans="2:2">
      <c r="B510" s="66"/>
    </row>
    <row r="511" spans="2:2">
      <c r="B511" s="66"/>
    </row>
    <row r="512" spans="2:2">
      <c r="B512" s="66"/>
    </row>
    <row r="513" spans="2:2">
      <c r="B513" s="66"/>
    </row>
    <row r="514" spans="2:2">
      <c r="B514" s="66"/>
    </row>
    <row r="515" spans="2:2">
      <c r="B515" s="66"/>
    </row>
    <row r="516" spans="2:2">
      <c r="B516" s="66"/>
    </row>
    <row r="517" spans="2:2">
      <c r="B517" s="66"/>
    </row>
    <row r="518" spans="2:2">
      <c r="B518" s="66"/>
    </row>
    <row r="519" spans="2:2">
      <c r="B519" s="66"/>
    </row>
    <row r="520" spans="2:2">
      <c r="B520" s="66"/>
    </row>
    <row r="521" spans="2:2">
      <c r="B521" s="66"/>
    </row>
    <row r="522" spans="2:2">
      <c r="B522" s="66"/>
    </row>
    <row r="523" spans="2:2">
      <c r="B523" s="66"/>
    </row>
    <row r="524" spans="2:2">
      <c r="B524" s="66"/>
    </row>
    <row r="525" spans="2:2">
      <c r="B525" s="66"/>
    </row>
    <row r="526" spans="2:2">
      <c r="B526" s="66"/>
    </row>
    <row r="527" spans="2:2">
      <c r="B527" s="66"/>
    </row>
    <row r="528" spans="2:2">
      <c r="B528" s="66"/>
    </row>
    <row r="529" spans="2:2">
      <c r="B529" s="66"/>
    </row>
    <row r="530" spans="2:2">
      <c r="B530" s="66"/>
    </row>
    <row r="531" spans="2:2">
      <c r="B531" s="66"/>
    </row>
    <row r="532" spans="2:2">
      <c r="B532" s="66"/>
    </row>
    <row r="533" spans="2:2">
      <c r="B533" s="66"/>
    </row>
    <row r="534" spans="2:2">
      <c r="B534" s="66"/>
    </row>
    <row r="535" spans="2:2">
      <c r="B535" s="66"/>
    </row>
    <row r="536" spans="2:2">
      <c r="B536" s="66"/>
    </row>
    <row r="537" spans="2:2">
      <c r="B537" s="66"/>
    </row>
    <row r="538" spans="2:2">
      <c r="B538" s="66"/>
    </row>
    <row r="539" spans="2:2">
      <c r="B539" s="66"/>
    </row>
    <row r="540" spans="2:2">
      <c r="B540" s="66"/>
    </row>
    <row r="541" spans="2:2">
      <c r="B541" s="66"/>
    </row>
    <row r="542" spans="2:2">
      <c r="B542" s="66"/>
    </row>
    <row r="543" spans="2:2">
      <c r="B543" s="66"/>
    </row>
    <row r="544" spans="2:2">
      <c r="B544" s="66"/>
    </row>
    <row r="545" spans="2:2">
      <c r="B545" s="66"/>
    </row>
    <row r="546" spans="2:2">
      <c r="B546" s="66"/>
    </row>
    <row r="547" spans="2:2">
      <c r="B547" s="66"/>
    </row>
    <row r="548" spans="2:2">
      <c r="B548" s="66"/>
    </row>
    <row r="549" spans="2:2">
      <c r="B549" s="66"/>
    </row>
    <row r="550" spans="2:2">
      <c r="B550" s="66"/>
    </row>
    <row r="551" spans="2:2">
      <c r="B551" s="66"/>
    </row>
    <row r="552" spans="2:2">
      <c r="B552" s="66"/>
    </row>
    <row r="553" spans="2:2">
      <c r="B553" s="66"/>
    </row>
    <row r="554" spans="2:2">
      <c r="B554" s="66"/>
    </row>
    <row r="555" spans="2:2">
      <c r="B555" s="66"/>
    </row>
    <row r="556" spans="2:2">
      <c r="B556" s="66"/>
    </row>
    <row r="557" spans="2:2">
      <c r="B557" s="66"/>
    </row>
    <row r="558" spans="2:2">
      <c r="B558" s="66"/>
    </row>
    <row r="559" spans="2:2">
      <c r="B559" s="66"/>
    </row>
    <row r="560" spans="2:2">
      <c r="B560" s="66"/>
    </row>
    <row r="561" spans="2:2">
      <c r="B561" s="66"/>
    </row>
    <row r="562" spans="2:2">
      <c r="B562" s="66"/>
    </row>
    <row r="563" spans="2:2">
      <c r="B563" s="66"/>
    </row>
    <row r="564" spans="2:2">
      <c r="B564" s="66"/>
    </row>
    <row r="565" spans="2:2">
      <c r="B565" s="66"/>
    </row>
    <row r="566" spans="2:2">
      <c r="B566" s="66"/>
    </row>
    <row r="567" spans="2:2">
      <c r="B567" s="66"/>
    </row>
    <row r="568" spans="2:2">
      <c r="B568" s="66"/>
    </row>
    <row r="569" spans="2:2">
      <c r="B569" s="66"/>
    </row>
    <row r="570" spans="2:2">
      <c r="B570" s="66"/>
    </row>
    <row r="571" spans="2:2">
      <c r="B571" s="66"/>
    </row>
    <row r="572" spans="2:2">
      <c r="B572" s="66"/>
    </row>
    <row r="573" spans="2:2">
      <c r="B573" s="66"/>
    </row>
    <row r="574" spans="2:2">
      <c r="B574" s="66"/>
    </row>
    <row r="575" spans="2:2">
      <c r="B575" s="66"/>
    </row>
    <row r="576" spans="2:2">
      <c r="B576" s="66"/>
    </row>
    <row r="577" spans="2:2">
      <c r="B577" s="66"/>
    </row>
    <row r="578" spans="2:2">
      <c r="B578" s="66"/>
    </row>
    <row r="579" spans="2:2">
      <c r="B579" s="66"/>
    </row>
    <row r="580" spans="2:2">
      <c r="B580" s="66"/>
    </row>
    <row r="581" spans="2:2">
      <c r="B581" s="66"/>
    </row>
    <row r="582" spans="2:2">
      <c r="B582" s="66"/>
    </row>
    <row r="583" spans="2:2">
      <c r="B583" s="66"/>
    </row>
    <row r="584" spans="2:2">
      <c r="B584" s="66"/>
    </row>
    <row r="585" spans="2:2">
      <c r="B585" s="66"/>
    </row>
    <row r="586" spans="2:2">
      <c r="B586" s="66"/>
    </row>
    <row r="587" spans="2:2">
      <c r="B587" s="66"/>
    </row>
    <row r="588" spans="2:2">
      <c r="B588" s="66"/>
    </row>
    <row r="589" spans="2:2">
      <c r="B589" s="66"/>
    </row>
    <row r="590" spans="2:2">
      <c r="B590" s="66"/>
    </row>
    <row r="591" spans="2:2">
      <c r="B591" s="66"/>
    </row>
    <row r="592" spans="2:2">
      <c r="B592" s="66"/>
    </row>
    <row r="593" spans="2:2">
      <c r="B593" s="66"/>
    </row>
    <row r="594" spans="2:2">
      <c r="B594" s="66"/>
    </row>
    <row r="595" spans="2:2">
      <c r="B595" s="66"/>
    </row>
    <row r="596" spans="2:2">
      <c r="B596" s="66"/>
    </row>
    <row r="597" spans="2:2">
      <c r="B597" s="66"/>
    </row>
    <row r="598" spans="2:2">
      <c r="B598" s="66"/>
    </row>
    <row r="599" spans="2:2">
      <c r="B599" s="66"/>
    </row>
    <row r="600" spans="2:2">
      <c r="B600" s="66"/>
    </row>
    <row r="601" spans="2:2">
      <c r="B601" s="66"/>
    </row>
    <row r="602" spans="2:2">
      <c r="B602" s="66"/>
    </row>
    <row r="603" spans="2:2">
      <c r="B603" s="66"/>
    </row>
    <row r="604" spans="2:2">
      <c r="B604" s="66"/>
    </row>
    <row r="605" spans="2:2">
      <c r="B605" s="66"/>
    </row>
    <row r="606" spans="2:2">
      <c r="B606" s="66"/>
    </row>
    <row r="607" spans="2:2">
      <c r="B607" s="66"/>
    </row>
    <row r="608" spans="2:2">
      <c r="B608" s="66"/>
    </row>
    <row r="609" spans="2:2">
      <c r="B609" s="66"/>
    </row>
    <row r="610" spans="2:2">
      <c r="B610" s="66"/>
    </row>
    <row r="611" spans="2:2">
      <c r="B611" s="66"/>
    </row>
    <row r="612" spans="2:2">
      <c r="B612" s="66"/>
    </row>
    <row r="613" spans="2:2">
      <c r="B613" s="66"/>
    </row>
    <row r="614" spans="2:2">
      <c r="B614" s="66"/>
    </row>
    <row r="615" spans="2:2">
      <c r="B615" s="66"/>
    </row>
    <row r="616" spans="2:2">
      <c r="B616" s="66"/>
    </row>
    <row r="617" spans="2:2">
      <c r="B617" s="66"/>
    </row>
    <row r="618" spans="2:2">
      <c r="B618" s="66"/>
    </row>
    <row r="619" spans="2:2">
      <c r="B619" s="66"/>
    </row>
    <row r="620" spans="2:2">
      <c r="B620" s="66"/>
    </row>
    <row r="621" spans="2:2">
      <c r="B621" s="66"/>
    </row>
    <row r="622" spans="2:2">
      <c r="B622" s="66"/>
    </row>
    <row r="623" spans="2:2">
      <c r="B623" s="66"/>
    </row>
    <row r="624" spans="2:2">
      <c r="B624" s="66"/>
    </row>
    <row r="625" spans="2:2">
      <c r="B625" s="66"/>
    </row>
    <row r="626" spans="2:2">
      <c r="B626" s="66"/>
    </row>
    <row r="627" spans="2:2">
      <c r="B627" s="66"/>
    </row>
    <row r="628" spans="2:2">
      <c r="B628" s="66"/>
    </row>
    <row r="629" spans="2:2">
      <c r="B629" s="66"/>
    </row>
    <row r="630" spans="2:2">
      <c r="B630" s="66"/>
    </row>
    <row r="631" spans="2:2">
      <c r="B631" s="66"/>
    </row>
    <row r="632" spans="2:2">
      <c r="B632" s="66"/>
    </row>
    <row r="633" spans="2:2">
      <c r="B633" s="66"/>
    </row>
    <row r="634" spans="2:2">
      <c r="B634" s="66"/>
    </row>
    <row r="635" spans="2:2">
      <c r="B635" s="66"/>
    </row>
    <row r="636" spans="2:2">
      <c r="B636" s="66"/>
    </row>
    <row r="637" spans="2:2">
      <c r="B637" s="66"/>
    </row>
    <row r="638" spans="2:2">
      <c r="B638" s="66"/>
    </row>
    <row r="639" spans="2:2">
      <c r="B639" s="66"/>
    </row>
    <row r="640" spans="2:2">
      <c r="B640" s="66"/>
    </row>
    <row r="641" spans="2:2">
      <c r="B641" s="66"/>
    </row>
    <row r="642" spans="2:2">
      <c r="B642" s="66"/>
    </row>
    <row r="643" spans="2:2">
      <c r="B643" s="66"/>
    </row>
    <row r="644" spans="2:2">
      <c r="B644" s="66"/>
    </row>
    <row r="645" spans="2:2">
      <c r="B645" s="66"/>
    </row>
    <row r="646" spans="2:2">
      <c r="B646" s="66"/>
    </row>
    <row r="647" spans="2:2">
      <c r="B647" s="66"/>
    </row>
    <row r="648" spans="2:2">
      <c r="B648" s="66"/>
    </row>
    <row r="649" spans="2:2">
      <c r="B649" s="66"/>
    </row>
    <row r="650" spans="2:2">
      <c r="B650" s="66"/>
    </row>
    <row r="651" spans="2:2">
      <c r="B651" s="66"/>
    </row>
    <row r="652" spans="2:2">
      <c r="B652" s="66"/>
    </row>
    <row r="653" spans="2:2">
      <c r="B653" s="66"/>
    </row>
    <row r="654" spans="2:2">
      <c r="B654" s="66"/>
    </row>
    <row r="655" spans="2:2">
      <c r="B655" s="66"/>
    </row>
    <row r="656" spans="2:2">
      <c r="B656" s="66"/>
    </row>
    <row r="657" spans="2:2">
      <c r="B657" s="66"/>
    </row>
    <row r="658" spans="2:2">
      <c r="B658" s="66"/>
    </row>
    <row r="659" spans="2:2">
      <c r="B659" s="66"/>
    </row>
    <row r="660" spans="2:2">
      <c r="B660" s="66"/>
    </row>
    <row r="661" spans="2:2">
      <c r="B661" s="66"/>
    </row>
    <row r="662" spans="2:2">
      <c r="B662" s="66"/>
    </row>
    <row r="663" spans="2:2">
      <c r="B663" s="66"/>
    </row>
    <row r="664" spans="2:2">
      <c r="B664" s="66"/>
    </row>
    <row r="665" spans="2:2">
      <c r="B665" s="66"/>
    </row>
    <row r="666" spans="2:2">
      <c r="B666" s="66"/>
    </row>
    <row r="667" spans="2:2">
      <c r="B667" s="66"/>
    </row>
    <row r="668" spans="2:2">
      <c r="B668" s="66"/>
    </row>
    <row r="669" spans="2:2">
      <c r="B669" s="66"/>
    </row>
    <row r="670" spans="2:2">
      <c r="B670" s="66"/>
    </row>
    <row r="671" spans="2:2">
      <c r="B671" s="66"/>
    </row>
    <row r="672" spans="2:2">
      <c r="B672" s="66"/>
    </row>
    <row r="673" spans="2:2">
      <c r="B673" s="66"/>
    </row>
    <row r="674" spans="2:2">
      <c r="B674" s="66"/>
    </row>
    <row r="675" spans="2:2">
      <c r="B675" s="66"/>
    </row>
    <row r="676" spans="2:2">
      <c r="B676" s="66"/>
    </row>
    <row r="677" spans="2:2">
      <c r="B677" s="66"/>
    </row>
    <row r="678" spans="2:2">
      <c r="B678" s="66"/>
    </row>
    <row r="679" spans="2:2">
      <c r="B679" s="66"/>
    </row>
    <row r="680" spans="2:2">
      <c r="B680" s="66"/>
    </row>
    <row r="681" spans="2:2">
      <c r="B681" s="66"/>
    </row>
    <row r="682" spans="2:2">
      <c r="B682" s="66"/>
    </row>
    <row r="683" spans="2:2">
      <c r="B683" s="66"/>
    </row>
    <row r="684" spans="2:2">
      <c r="B684" s="66"/>
    </row>
    <row r="685" spans="2:2">
      <c r="B685" s="66"/>
    </row>
    <row r="686" spans="2:2">
      <c r="B686" s="66"/>
    </row>
    <row r="687" spans="2:2">
      <c r="B687" s="66"/>
    </row>
    <row r="688" spans="2:2">
      <c r="B688" s="66"/>
    </row>
    <row r="689" spans="2:2">
      <c r="B689" s="66"/>
    </row>
    <row r="690" spans="2:2">
      <c r="B690" s="66"/>
    </row>
    <row r="691" spans="2:2">
      <c r="B691" s="66"/>
    </row>
    <row r="692" spans="2:2">
      <c r="B692" s="66"/>
    </row>
    <row r="693" spans="2:2">
      <c r="B693" s="66"/>
    </row>
    <row r="694" spans="2:2">
      <c r="B694" s="66"/>
    </row>
    <row r="695" spans="2:2">
      <c r="B695" s="66"/>
    </row>
    <row r="696" spans="2:2">
      <c r="B696" s="66"/>
    </row>
    <row r="697" spans="2:2">
      <c r="B697" s="66"/>
    </row>
    <row r="698" spans="2:2">
      <c r="B698" s="66"/>
    </row>
    <row r="699" spans="2:2">
      <c r="B699" s="66"/>
    </row>
    <row r="700" spans="2:2">
      <c r="B700" s="66"/>
    </row>
    <row r="701" spans="2:2">
      <c r="B701" s="66"/>
    </row>
    <row r="702" spans="2:2">
      <c r="B702" s="66"/>
    </row>
    <row r="703" spans="2:2">
      <c r="B703" s="66"/>
    </row>
    <row r="704" spans="2:2">
      <c r="B704" s="66"/>
    </row>
    <row r="705" spans="2:2">
      <c r="B705" s="66"/>
    </row>
    <row r="706" spans="2:2">
      <c r="B706" s="66"/>
    </row>
    <row r="707" spans="2:2">
      <c r="B707" s="66"/>
    </row>
    <row r="708" spans="2:2">
      <c r="B708" s="66"/>
    </row>
    <row r="709" spans="2:2">
      <c r="B709" s="66"/>
    </row>
    <row r="710" spans="2:2">
      <c r="B710" s="66"/>
    </row>
    <row r="711" spans="2:2">
      <c r="B711" s="66"/>
    </row>
    <row r="712" spans="2:2">
      <c r="B712" s="66"/>
    </row>
    <row r="713" spans="2:2">
      <c r="B713" s="66"/>
    </row>
    <row r="714" spans="2:2">
      <c r="B714" s="66"/>
    </row>
    <row r="715" spans="2:2">
      <c r="B715" s="66"/>
    </row>
    <row r="716" spans="2:2">
      <c r="B716" s="66"/>
    </row>
    <row r="717" spans="2:2">
      <c r="B717" s="66"/>
    </row>
    <row r="718" spans="2:2">
      <c r="B718" s="66"/>
    </row>
    <row r="719" spans="2:2">
      <c r="B719" s="66"/>
    </row>
    <row r="720" spans="2:2">
      <c r="B720" s="66"/>
    </row>
    <row r="721" spans="2:2">
      <c r="B721" s="66"/>
    </row>
    <row r="722" spans="2:2">
      <c r="B722" s="66"/>
    </row>
    <row r="723" spans="2:2">
      <c r="B723" s="66"/>
    </row>
    <row r="724" spans="2:2">
      <c r="B724" s="66"/>
    </row>
    <row r="725" spans="2:2">
      <c r="B725" s="66"/>
    </row>
    <row r="726" spans="2:2">
      <c r="B726" s="66"/>
    </row>
    <row r="727" spans="2:2">
      <c r="B727" s="66"/>
    </row>
    <row r="728" spans="2:2">
      <c r="B728" s="66"/>
    </row>
    <row r="729" spans="2:2">
      <c r="B729" s="66"/>
    </row>
    <row r="730" spans="2:2">
      <c r="B730" s="66"/>
    </row>
    <row r="731" spans="2:2">
      <c r="B731" s="66"/>
    </row>
    <row r="732" spans="2:2">
      <c r="B732" s="66"/>
    </row>
    <row r="733" spans="2:2">
      <c r="B733" s="66"/>
    </row>
    <row r="734" spans="2:2">
      <c r="B734" s="66"/>
    </row>
    <row r="735" spans="2:2">
      <c r="B735" s="66"/>
    </row>
    <row r="736" spans="2:2">
      <c r="B736" s="66"/>
    </row>
    <row r="737" spans="2:2">
      <c r="B737" s="66"/>
    </row>
    <row r="738" spans="2:2">
      <c r="B738" s="66"/>
    </row>
    <row r="739" spans="2:2">
      <c r="B739" s="66"/>
    </row>
    <row r="740" spans="2:2">
      <c r="B740" s="66"/>
    </row>
    <row r="741" spans="2:2">
      <c r="B741" s="66"/>
    </row>
    <row r="742" spans="2:2">
      <c r="B742" s="66"/>
    </row>
    <row r="743" spans="2:2">
      <c r="B743" s="66"/>
    </row>
    <row r="744" spans="2:2">
      <c r="B744" s="66"/>
    </row>
    <row r="745" spans="2:2">
      <c r="B745" s="66"/>
    </row>
    <row r="746" spans="2:2">
      <c r="B746" s="66"/>
    </row>
    <row r="747" spans="2:2">
      <c r="B747" s="66"/>
    </row>
    <row r="748" spans="2:2">
      <c r="B748" s="66"/>
    </row>
    <row r="749" spans="2:2">
      <c r="B749" s="66"/>
    </row>
    <row r="750" spans="2:2">
      <c r="B750" s="66"/>
    </row>
    <row r="751" spans="2:2">
      <c r="B751" s="66"/>
    </row>
    <row r="752" spans="2:2">
      <c r="B752" s="66"/>
    </row>
    <row r="753" spans="2:2">
      <c r="B753" s="66"/>
    </row>
    <row r="754" spans="2:2">
      <c r="B754" s="66"/>
    </row>
    <row r="755" spans="2:2">
      <c r="B755" s="66"/>
    </row>
    <row r="756" spans="2:2">
      <c r="B756" s="66"/>
    </row>
    <row r="757" spans="2:2">
      <c r="B757" s="66"/>
    </row>
    <row r="758" spans="2:2">
      <c r="B758" s="66"/>
    </row>
    <row r="759" spans="2:2">
      <c r="B759" s="66"/>
    </row>
    <row r="760" spans="2:2">
      <c r="B760" s="66"/>
    </row>
    <row r="761" spans="2:2">
      <c r="B761" s="66"/>
    </row>
    <row r="762" spans="2:2">
      <c r="B762" s="66"/>
    </row>
    <row r="763" spans="2:2">
      <c r="B763" s="66"/>
    </row>
    <row r="764" spans="2:2">
      <c r="B764" s="66"/>
    </row>
    <row r="765" spans="2:2">
      <c r="B765" s="66"/>
    </row>
    <row r="766" spans="2:2">
      <c r="B766" s="66"/>
    </row>
    <row r="767" spans="2:2">
      <c r="B767" s="66"/>
    </row>
    <row r="768" spans="2:2">
      <c r="B768" s="66"/>
    </row>
    <row r="769" spans="2:2">
      <c r="B769" s="66"/>
    </row>
    <row r="770" spans="2:2">
      <c r="B770" s="66"/>
    </row>
    <row r="771" spans="2:2">
      <c r="B771" s="66"/>
    </row>
    <row r="772" spans="2:2">
      <c r="B772" s="66"/>
    </row>
    <row r="773" spans="2:2">
      <c r="B773" s="66"/>
    </row>
    <row r="774" spans="2:2">
      <c r="B774" s="66"/>
    </row>
    <row r="775" spans="2:2">
      <c r="B775" s="66"/>
    </row>
    <row r="776" spans="2:2">
      <c r="B776" s="66"/>
    </row>
    <row r="777" spans="2:2">
      <c r="B777" s="66"/>
    </row>
    <row r="778" spans="2:2">
      <c r="B778" s="66"/>
    </row>
    <row r="779" spans="2:2">
      <c r="B779" s="66"/>
    </row>
    <row r="780" spans="2:2">
      <c r="B780" s="66"/>
    </row>
    <row r="781" spans="2:2">
      <c r="B781" s="66"/>
    </row>
    <row r="782" spans="2:2">
      <c r="B782" s="66"/>
    </row>
    <row r="783" spans="2:2">
      <c r="B783" s="66"/>
    </row>
    <row r="784" spans="2:2">
      <c r="B784" s="66"/>
    </row>
    <row r="785" spans="2:2">
      <c r="B785" s="66"/>
    </row>
    <row r="786" spans="2:2">
      <c r="B786" s="66"/>
    </row>
    <row r="787" spans="2:2">
      <c r="B787" s="66"/>
    </row>
    <row r="788" spans="2:2">
      <c r="B788" s="66"/>
    </row>
    <row r="789" spans="2:2">
      <c r="B789" s="66"/>
    </row>
    <row r="790" spans="2:2">
      <c r="B790" s="66"/>
    </row>
    <row r="791" spans="2:2">
      <c r="B791" s="66"/>
    </row>
    <row r="792" spans="2:2">
      <c r="B792" s="66"/>
    </row>
    <row r="793" spans="2:2">
      <c r="B793" s="66"/>
    </row>
    <row r="794" spans="2:2">
      <c r="B794" s="66"/>
    </row>
    <row r="795" spans="2:2">
      <c r="B795" s="66"/>
    </row>
    <row r="796" spans="2:2">
      <c r="B796" s="66"/>
    </row>
    <row r="797" spans="2:2">
      <c r="B797" s="66"/>
    </row>
    <row r="798" spans="2:2">
      <c r="B798" s="66"/>
    </row>
    <row r="799" spans="2:2">
      <c r="B799" s="66"/>
    </row>
    <row r="800" spans="2:2">
      <c r="B800" s="66"/>
    </row>
    <row r="801" spans="2:2">
      <c r="B801" s="66"/>
    </row>
    <row r="802" spans="2:2">
      <c r="B802" s="66"/>
    </row>
    <row r="803" spans="2:2">
      <c r="B803" s="66"/>
    </row>
    <row r="804" spans="2:2">
      <c r="B804" s="66"/>
    </row>
    <row r="805" spans="2:2">
      <c r="B805" s="66"/>
    </row>
    <row r="806" spans="2:2">
      <c r="B806" s="66"/>
    </row>
    <row r="807" spans="2:2">
      <c r="B807" s="66"/>
    </row>
    <row r="808" spans="2:2">
      <c r="B808" s="66"/>
    </row>
    <row r="809" spans="2:2">
      <c r="B809" s="66"/>
    </row>
    <row r="810" spans="2:2">
      <c r="B810" s="66"/>
    </row>
    <row r="811" spans="2:2">
      <c r="B811" s="66"/>
    </row>
    <row r="812" spans="2:2">
      <c r="B812" s="66"/>
    </row>
    <row r="813" spans="2:2">
      <c r="B813" s="66"/>
    </row>
    <row r="814" spans="2:2">
      <c r="B814" s="66"/>
    </row>
    <row r="815" spans="2:2">
      <c r="B815" s="66"/>
    </row>
    <row r="816" spans="2:2">
      <c r="B816" s="66"/>
    </row>
    <row r="817" spans="2:2">
      <c r="B817" s="66"/>
    </row>
    <row r="818" spans="2:2">
      <c r="B818" s="66"/>
    </row>
    <row r="819" spans="2:2">
      <c r="B819" s="66"/>
    </row>
    <row r="820" spans="2:2">
      <c r="B820" s="66"/>
    </row>
    <row r="821" spans="2:2">
      <c r="B821" s="66"/>
    </row>
    <row r="822" spans="2:2">
      <c r="B822" s="66"/>
    </row>
    <row r="823" spans="2:2">
      <c r="B823" s="66"/>
    </row>
    <row r="824" spans="2:2">
      <c r="B824" s="66"/>
    </row>
    <row r="825" spans="2:2">
      <c r="B825" s="66"/>
    </row>
    <row r="826" spans="2:2">
      <c r="B826" s="66"/>
    </row>
    <row r="827" spans="2:2">
      <c r="B827" s="66"/>
    </row>
    <row r="828" spans="2:2">
      <c r="B828" s="66"/>
    </row>
    <row r="829" spans="2:2">
      <c r="B829" s="66"/>
    </row>
    <row r="830" spans="2:2">
      <c r="B830" s="66"/>
    </row>
    <row r="831" spans="2:2">
      <c r="B831" s="66"/>
    </row>
    <row r="832" spans="2:2">
      <c r="B832" s="66"/>
    </row>
    <row r="833" spans="2:2">
      <c r="B833" s="66"/>
    </row>
    <row r="834" spans="2:2">
      <c r="B834" s="66"/>
    </row>
    <row r="835" spans="2:2">
      <c r="B835" s="66"/>
    </row>
    <row r="836" spans="2:2">
      <c r="B836" s="66"/>
    </row>
    <row r="837" spans="2:2">
      <c r="B837" s="66"/>
    </row>
    <row r="838" spans="2:2">
      <c r="B838" s="66"/>
    </row>
    <row r="839" spans="2:2">
      <c r="B839" s="66"/>
    </row>
    <row r="840" spans="2:2">
      <c r="B840" s="66"/>
    </row>
    <row r="841" spans="2:2">
      <c r="B841" s="66"/>
    </row>
    <row r="842" spans="2:2">
      <c r="B842" s="66"/>
    </row>
    <row r="843" spans="2:2">
      <c r="B843" s="66"/>
    </row>
    <row r="844" spans="2:2">
      <c r="B844" s="66"/>
    </row>
    <row r="845" spans="2:2">
      <c r="B845" s="66"/>
    </row>
    <row r="846" spans="2:2">
      <c r="B846" s="66"/>
    </row>
    <row r="847" spans="2:2">
      <c r="B847" s="66"/>
    </row>
    <row r="848" spans="2:2">
      <c r="B848" s="66"/>
    </row>
    <row r="849" spans="2:2">
      <c r="B849" s="66"/>
    </row>
    <row r="850" spans="2:2">
      <c r="B850" s="66"/>
    </row>
    <row r="851" spans="2:2">
      <c r="B851" s="66"/>
    </row>
    <row r="852" spans="2:2">
      <c r="B852" s="66"/>
    </row>
    <row r="853" spans="2:2">
      <c r="B853" s="66"/>
    </row>
    <row r="854" spans="2:2">
      <c r="B854" s="66"/>
    </row>
    <row r="855" spans="2:2">
      <c r="B855" s="66"/>
    </row>
    <row r="856" spans="2:2">
      <c r="B856" s="66"/>
    </row>
    <row r="857" spans="2:2">
      <c r="B857" s="66"/>
    </row>
    <row r="858" spans="2:2">
      <c r="B858" s="66"/>
    </row>
    <row r="859" spans="2:2">
      <c r="B859" s="66"/>
    </row>
    <row r="860" spans="2:2">
      <c r="B860" s="66"/>
    </row>
    <row r="861" spans="2:2">
      <c r="B861" s="66"/>
    </row>
    <row r="862" spans="2:2">
      <c r="B862" s="66"/>
    </row>
    <row r="863" spans="2:2">
      <c r="B863" s="66"/>
    </row>
    <row r="864" spans="2:2">
      <c r="B864" s="66"/>
    </row>
    <row r="865" spans="2:2">
      <c r="B865" s="66"/>
    </row>
    <row r="866" spans="2:2">
      <c r="B866" s="66"/>
    </row>
    <row r="867" spans="2:2">
      <c r="B867" s="66"/>
    </row>
    <row r="868" spans="2:2">
      <c r="B868" s="66"/>
    </row>
    <row r="869" spans="2:2">
      <c r="B869" s="66"/>
    </row>
    <row r="870" spans="2:2">
      <c r="B870" s="66"/>
    </row>
    <row r="871" spans="2:2">
      <c r="B871" s="66"/>
    </row>
    <row r="872" spans="2:2">
      <c r="B872" s="66"/>
    </row>
    <row r="873" spans="2:2">
      <c r="B873" s="66"/>
    </row>
    <row r="874" spans="2:2">
      <c r="B874" s="66"/>
    </row>
    <row r="875" spans="2:2">
      <c r="B875" s="66"/>
    </row>
    <row r="876" spans="2:2">
      <c r="B876" s="66"/>
    </row>
    <row r="877" spans="2:2">
      <c r="B877" s="66"/>
    </row>
    <row r="878" spans="2:2">
      <c r="B878" s="66"/>
    </row>
    <row r="879" spans="2:2">
      <c r="B879" s="66"/>
    </row>
    <row r="880" spans="2:2">
      <c r="B880" s="66"/>
    </row>
    <row r="881" spans="2:2">
      <c r="B881" s="66"/>
    </row>
    <row r="882" spans="2:2">
      <c r="B882" s="66"/>
    </row>
    <row r="883" spans="2:2">
      <c r="B883" s="66"/>
    </row>
    <row r="884" spans="2:2">
      <c r="B884" s="66"/>
    </row>
    <row r="885" spans="2:2">
      <c r="B885" s="66"/>
    </row>
    <row r="886" spans="2:2">
      <c r="B886" s="66"/>
    </row>
    <row r="887" spans="2:2">
      <c r="B887" s="66"/>
    </row>
    <row r="888" spans="2:2">
      <c r="B888" s="66"/>
    </row>
    <row r="889" spans="2:2">
      <c r="B889" s="66"/>
    </row>
    <row r="890" spans="2:2">
      <c r="B890" s="66"/>
    </row>
    <row r="891" spans="2:2">
      <c r="B891" s="66"/>
    </row>
    <row r="892" spans="2:2">
      <c r="B892" s="66"/>
    </row>
    <row r="893" spans="2:2">
      <c r="B893" s="66"/>
    </row>
    <row r="894" spans="2:2">
      <c r="B894" s="66"/>
    </row>
    <row r="895" spans="2:2">
      <c r="B895" s="66"/>
    </row>
    <row r="896" spans="2:2">
      <c r="B896" s="66"/>
    </row>
    <row r="897" spans="2:2">
      <c r="B897" s="66"/>
    </row>
    <row r="898" spans="2:2">
      <c r="B898" s="66"/>
    </row>
    <row r="899" spans="2:2">
      <c r="B899" s="66"/>
    </row>
    <row r="900" spans="2:2">
      <c r="B900" s="66"/>
    </row>
  </sheetData>
  <sheetProtection algorithmName="SHA-512" hashValue="iMtiS6afKrHPxAbh/IiwYSpcnsLHJjUdZB/75GwGU723H4Vv0WK4Qw7uJpmqqwEOrBQ8SoliHFlHm9dBtBOzIw==" saltValue="NSTlhE2hRTak+e17dOEuXA==" spinCount="100000" sheet="1" objects="1" scenarios="1"/>
  <mergeCells count="2">
    <mergeCell ref="B7:C7"/>
    <mergeCell ref="B9:C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E8F85-9DA8-CA40-841A-3CCDFB320488}">
  <sheetPr codeName="Sheet9"/>
  <dimension ref="B7:AF887"/>
  <sheetViews>
    <sheetView showGridLines="0" zoomScaleNormal="100" workbookViewId="0">
      <selection activeCell="B7" sqref="B7:C7"/>
    </sheetView>
  </sheetViews>
  <sheetFormatPr baseColWidth="10" defaultColWidth="10.83203125" defaultRowHeight="15"/>
  <cols>
    <col min="1" max="1" width="1.6640625" style="2" customWidth="1"/>
    <col min="2" max="2" width="4.5" style="2" customWidth="1"/>
    <col min="3" max="3" width="52.83203125" style="2" customWidth="1"/>
    <col min="4" max="8" width="12.83203125" style="2" customWidth="1"/>
    <col min="9" max="9" width="11.1640625" style="2" customWidth="1"/>
    <col min="10" max="13" width="12.83203125" style="2" hidden="1" customWidth="1"/>
    <col min="14" max="14" width="1" style="2" hidden="1" customWidth="1"/>
    <col min="15" max="15" width="12.83203125" style="2" customWidth="1"/>
    <col min="16" max="18" width="12.1640625" style="2" hidden="1" customWidth="1"/>
    <col min="19" max="19" width="12.1640625" style="4" hidden="1" customWidth="1"/>
    <col min="20" max="21" width="12.83203125" style="2" hidden="1" customWidth="1"/>
    <col min="22" max="22" width="13.1640625" style="2" customWidth="1"/>
    <col min="23" max="27" width="12.1640625" style="2" hidden="1" customWidth="1"/>
    <col min="28" max="29" width="12.83203125" style="2" hidden="1" customWidth="1"/>
    <col min="30" max="30" width="13.5" style="4" hidden="1" customWidth="1"/>
    <col min="31" max="16384" width="10.83203125" style="2"/>
  </cols>
  <sheetData>
    <row r="7" spans="2:32" ht="21" customHeight="1">
      <c r="B7" s="140" t="s">
        <v>415</v>
      </c>
      <c r="C7" s="140"/>
      <c r="L7" s="145"/>
      <c r="O7" s="175"/>
    </row>
    <row r="8" spans="2:32">
      <c r="O8" s="175"/>
    </row>
    <row r="9" spans="2:32" s="9" customFormat="1" ht="20" customHeight="1">
      <c r="B9" s="141" t="s">
        <v>71</v>
      </c>
      <c r="C9" s="141"/>
      <c r="D9" s="6" t="s">
        <v>0</v>
      </c>
      <c r="E9" s="6" t="s">
        <v>1</v>
      </c>
      <c r="F9" s="6" t="s">
        <v>2</v>
      </c>
      <c r="G9" s="7" t="s">
        <v>34</v>
      </c>
      <c r="H9" s="7" t="s">
        <v>5</v>
      </c>
      <c r="I9" s="8" t="s">
        <v>6</v>
      </c>
      <c r="J9" s="6" t="s">
        <v>0</v>
      </c>
      <c r="K9" s="6" t="s">
        <v>1</v>
      </c>
      <c r="L9" s="6" t="s">
        <v>2</v>
      </c>
      <c r="M9" s="7" t="s">
        <v>34</v>
      </c>
      <c r="N9" s="7" t="s">
        <v>5</v>
      </c>
      <c r="O9" s="8" t="s">
        <v>7</v>
      </c>
      <c r="P9" s="6" t="s">
        <v>8</v>
      </c>
      <c r="Q9" s="6" t="s">
        <v>9</v>
      </c>
      <c r="R9" s="6" t="s">
        <v>11</v>
      </c>
      <c r="S9" s="6" t="s">
        <v>10</v>
      </c>
      <c r="T9" s="6" t="s">
        <v>13</v>
      </c>
      <c r="U9" s="6" t="s">
        <v>14</v>
      </c>
      <c r="V9" s="8" t="s">
        <v>15</v>
      </c>
      <c r="W9" s="5" t="s">
        <v>44</v>
      </c>
      <c r="X9" s="5" t="s">
        <v>45</v>
      </c>
      <c r="Y9" s="5" t="s">
        <v>46</v>
      </c>
      <c r="Z9" s="5" t="s">
        <v>47</v>
      </c>
      <c r="AA9" s="5" t="s">
        <v>59</v>
      </c>
      <c r="AB9" s="5" t="s">
        <v>48</v>
      </c>
      <c r="AC9" s="5" t="s">
        <v>49</v>
      </c>
      <c r="AD9" s="147" t="s">
        <v>50</v>
      </c>
    </row>
    <row r="10" spans="2:32">
      <c r="B10" s="10" t="s">
        <v>228</v>
      </c>
      <c r="C10" s="11"/>
      <c r="S10" s="2"/>
      <c r="AD10" s="2"/>
    </row>
    <row r="11" spans="2:32" ht="16">
      <c r="C11" s="11" t="s">
        <v>229</v>
      </c>
      <c r="D11" s="70">
        <v>24576.090017999999</v>
      </c>
      <c r="E11" s="70">
        <v>45341.483662464001</v>
      </c>
      <c r="F11" s="70">
        <v>4599.3744499439999</v>
      </c>
      <c r="G11" s="70">
        <v>0</v>
      </c>
      <c r="H11" s="72">
        <v>3705.17</v>
      </c>
      <c r="I11" s="71">
        <f>SUM(D11:H11)</f>
        <v>78222.118130408009</v>
      </c>
      <c r="J11" s="70">
        <v>20509.000110000001</v>
      </c>
      <c r="K11" s="70">
        <v>51895.542580000001</v>
      </c>
      <c r="L11" s="70">
        <v>8660.9270699999997</v>
      </c>
      <c r="M11" s="70">
        <v>0</v>
      </c>
      <c r="N11" s="70">
        <v>0</v>
      </c>
      <c r="O11" s="71">
        <f>SUM(J11:N11)</f>
        <v>81065.469760000007</v>
      </c>
      <c r="P11" s="70">
        <v>7287.4873980000002</v>
      </c>
      <c r="Q11" s="70">
        <v>27360.126909000002</v>
      </c>
      <c r="R11" s="70">
        <v>0</v>
      </c>
      <c r="S11" s="70">
        <v>5601.8491593300005</v>
      </c>
      <c r="T11" s="70">
        <v>0</v>
      </c>
      <c r="U11" s="70">
        <v>0</v>
      </c>
      <c r="V11" s="71">
        <f>SUM(P11:U11)</f>
        <v>40249.463466330002</v>
      </c>
      <c r="W11" s="70">
        <v>21880.6224</v>
      </c>
      <c r="X11" s="70">
        <v>59412.001162</v>
      </c>
      <c r="Y11" s="70">
        <v>0</v>
      </c>
      <c r="Z11" s="70">
        <v>0</v>
      </c>
      <c r="AA11" s="70">
        <v>30999.852677999999</v>
      </c>
      <c r="AB11" s="70">
        <v>0</v>
      </c>
      <c r="AC11" s="70">
        <v>0</v>
      </c>
      <c r="AD11" s="71">
        <f>SUM(W11:AC11)</f>
        <v>112292.47623999999</v>
      </c>
    </row>
    <row r="12" spans="2:32" ht="16">
      <c r="C12" s="11" t="s">
        <v>230</v>
      </c>
      <c r="D12" s="70">
        <v>6539.0648698320001</v>
      </c>
      <c r="E12" s="70">
        <v>23195.327909160002</v>
      </c>
      <c r="F12" s="70">
        <v>0</v>
      </c>
      <c r="G12" s="70">
        <v>6672.0117599999994</v>
      </c>
      <c r="H12" s="72"/>
      <c r="I12" s="71">
        <f t="shared" ref="I12:I14" si="0">SUM(D12:H12)</f>
        <v>36406.404538991999</v>
      </c>
      <c r="J12" s="70">
        <v>22378.5</v>
      </c>
      <c r="K12" s="70">
        <v>20061.47984</v>
      </c>
      <c r="L12" s="70">
        <v>0</v>
      </c>
      <c r="M12" s="70">
        <v>0</v>
      </c>
      <c r="N12" s="70">
        <v>0</v>
      </c>
      <c r="O12" s="71">
        <f t="shared" ref="O12:O14" si="1">SUM(J12:N12)</f>
        <v>42439.97984</v>
      </c>
      <c r="P12" s="70">
        <v>22680.9486</v>
      </c>
      <c r="Q12" s="70">
        <v>11001.443424840001</v>
      </c>
      <c r="R12" s="70">
        <v>0</v>
      </c>
      <c r="S12" s="70">
        <v>2573.7946019999999</v>
      </c>
      <c r="T12" s="70">
        <v>0</v>
      </c>
      <c r="U12" s="70">
        <v>0</v>
      </c>
      <c r="V12" s="71">
        <f>SUM(P12:U12)</f>
        <v>36256.186626840004</v>
      </c>
      <c r="W12" s="70">
        <v>40854.598474999999</v>
      </c>
      <c r="X12" s="70">
        <v>12374.724254999999</v>
      </c>
      <c r="Y12" s="70">
        <v>3845.8900749999998</v>
      </c>
      <c r="Z12" s="70">
        <v>2298.5173049999999</v>
      </c>
      <c r="AA12" s="70">
        <v>8566.1033719999996</v>
      </c>
      <c r="AB12" s="70">
        <v>9374.9550429999999</v>
      </c>
      <c r="AC12" s="70">
        <v>14047</v>
      </c>
      <c r="AD12" s="71">
        <f t="shared" ref="AD12:AD14" si="2">SUM(W12:AC12)</f>
        <v>91361.788524999996</v>
      </c>
    </row>
    <row r="13" spans="2:32" ht="17" customHeight="1">
      <c r="C13" s="11" t="s">
        <v>231</v>
      </c>
      <c r="D13" s="70">
        <v>437947.47527882399</v>
      </c>
      <c r="E13" s="70">
        <v>32614.554058572001</v>
      </c>
      <c r="F13" s="70">
        <v>143697.724552812</v>
      </c>
      <c r="G13" s="70">
        <v>23532.67092</v>
      </c>
      <c r="H13" s="72">
        <v>29733.989249999999</v>
      </c>
      <c r="I13" s="71">
        <f t="shared" si="0"/>
        <v>667526.4140602079</v>
      </c>
      <c r="J13" s="70">
        <v>177909.42311</v>
      </c>
      <c r="K13" s="70">
        <v>21030.717540000001</v>
      </c>
      <c r="L13" s="70">
        <v>8732.3393500000002</v>
      </c>
      <c r="M13" s="70">
        <v>19892</v>
      </c>
      <c r="N13" s="70">
        <v>68716.774728820325</v>
      </c>
      <c r="O13" s="71">
        <f t="shared" si="1"/>
        <v>296281.25472882035</v>
      </c>
      <c r="P13" s="70">
        <v>141134.667984</v>
      </c>
      <c r="Q13" s="70">
        <v>4931.9229666600004</v>
      </c>
      <c r="R13" s="70">
        <v>0</v>
      </c>
      <c r="S13" s="70">
        <v>25093.116790020002</v>
      </c>
      <c r="T13" s="70">
        <v>5919.6782781900001</v>
      </c>
      <c r="U13" s="70">
        <v>48551</v>
      </c>
      <c r="V13" s="71">
        <f t="shared" ref="V13:V14" si="3">SUM(P13:U13)</f>
        <v>225630.38601886999</v>
      </c>
      <c r="W13" s="70">
        <v>2301.7733499999999</v>
      </c>
      <c r="X13" s="70">
        <v>408.358136</v>
      </c>
      <c r="Y13" s="70">
        <v>0</v>
      </c>
      <c r="Z13" s="70">
        <v>0</v>
      </c>
      <c r="AA13" s="70">
        <v>0</v>
      </c>
      <c r="AB13" s="70">
        <v>363.524901</v>
      </c>
      <c r="AC13" s="70"/>
      <c r="AD13" s="71">
        <f t="shared" si="2"/>
        <v>3073.656387</v>
      </c>
    </row>
    <row r="14" spans="2:32" ht="16" customHeight="1">
      <c r="C14" s="11" t="s">
        <v>232</v>
      </c>
      <c r="D14" s="70">
        <v>13688.1796596</v>
      </c>
      <c r="E14" s="70">
        <v>21926.176929023997</v>
      </c>
      <c r="F14" s="70">
        <v>17661.451848623998</v>
      </c>
      <c r="G14" s="70">
        <v>13631.9022</v>
      </c>
      <c r="H14" s="72">
        <v>5557.7550000000001</v>
      </c>
      <c r="I14" s="71">
        <f t="shared" si="0"/>
        <v>72465.465637247995</v>
      </c>
      <c r="J14" s="70">
        <v>64.649000000000001</v>
      </c>
      <c r="K14" s="70">
        <v>6797.1958600000007</v>
      </c>
      <c r="L14" s="70">
        <v>2320.4515300000003</v>
      </c>
      <c r="M14" s="70">
        <v>3430.3754000000004</v>
      </c>
      <c r="N14" s="70">
        <v>768.21436253572199</v>
      </c>
      <c r="O14" s="71">
        <f t="shared" si="1"/>
        <v>13380.886152535724</v>
      </c>
      <c r="P14" s="70">
        <v>0</v>
      </c>
      <c r="Q14" s="70">
        <v>0</v>
      </c>
      <c r="R14" s="70">
        <v>0</v>
      </c>
      <c r="S14" s="70">
        <v>0</v>
      </c>
      <c r="T14" s="70">
        <v>754.38807300000008</v>
      </c>
      <c r="U14" s="70">
        <v>0</v>
      </c>
      <c r="V14" s="71">
        <f t="shared" si="3"/>
        <v>754.38807300000008</v>
      </c>
      <c r="W14" s="70">
        <v>0</v>
      </c>
      <c r="X14" s="70">
        <v>0</v>
      </c>
      <c r="Y14" s="70">
        <v>0</v>
      </c>
      <c r="Z14" s="70">
        <v>0</v>
      </c>
      <c r="AA14" s="70">
        <v>0</v>
      </c>
      <c r="AB14" s="70">
        <v>0</v>
      </c>
      <c r="AC14" s="70">
        <v>0</v>
      </c>
      <c r="AD14" s="71">
        <f t="shared" si="2"/>
        <v>0</v>
      </c>
    </row>
    <row r="15" spans="2:32" s="94" customFormat="1" ht="16" customHeight="1">
      <c r="C15" s="16" t="s">
        <v>233</v>
      </c>
      <c r="D15" s="106">
        <f>SUM(D11:D14)</f>
        <v>482750.80982625601</v>
      </c>
      <c r="E15" s="106">
        <f t="shared" ref="E15:H15" si="4">SUM(E11:E14)</f>
        <v>123077.54255921999</v>
      </c>
      <c r="F15" s="106">
        <f t="shared" si="4"/>
        <v>165958.55085137999</v>
      </c>
      <c r="G15" s="106">
        <f t="shared" si="4"/>
        <v>43836.584879999995</v>
      </c>
      <c r="H15" s="106">
        <f t="shared" si="4"/>
        <v>38996.914249999994</v>
      </c>
      <c r="I15" s="107">
        <f>SUM(D15:H15)</f>
        <v>854620.402366856</v>
      </c>
      <c r="J15" s="106">
        <f>SUM(J11:J14)</f>
        <v>220861.57222</v>
      </c>
      <c r="K15" s="106">
        <f t="shared" ref="K15:AD15" si="5">SUM(K11:K14)</f>
        <v>99784.935819999999</v>
      </c>
      <c r="L15" s="106">
        <f t="shared" si="5"/>
        <v>19713.717949999998</v>
      </c>
      <c r="M15" s="106">
        <f t="shared" si="5"/>
        <v>23322.375400000001</v>
      </c>
      <c r="N15" s="106">
        <f t="shared" si="5"/>
        <v>69484.989091356052</v>
      </c>
      <c r="O15" s="107">
        <f t="shared" si="5"/>
        <v>433167.59048135608</v>
      </c>
      <c r="P15" s="106">
        <f t="shared" si="5"/>
        <v>171103.103982</v>
      </c>
      <c r="Q15" s="106">
        <f t="shared" si="5"/>
        <v>43293.493300500006</v>
      </c>
      <c r="R15" s="106">
        <f t="shared" si="5"/>
        <v>0</v>
      </c>
      <c r="S15" s="106">
        <f t="shared" si="5"/>
        <v>33268.760551350002</v>
      </c>
      <c r="T15" s="106">
        <f t="shared" si="5"/>
        <v>6674.0663511900002</v>
      </c>
      <c r="U15" s="106">
        <f t="shared" si="5"/>
        <v>48551</v>
      </c>
      <c r="V15" s="107">
        <f t="shared" si="5"/>
        <v>302890.42418504</v>
      </c>
      <c r="W15" s="106">
        <f t="shared" si="5"/>
        <v>65036.994225000002</v>
      </c>
      <c r="X15" s="106">
        <f t="shared" si="5"/>
        <v>72195.083552999989</v>
      </c>
      <c r="Y15" s="106">
        <f t="shared" si="5"/>
        <v>3845.8900749999998</v>
      </c>
      <c r="Z15" s="106">
        <f t="shared" si="5"/>
        <v>2298.5173049999999</v>
      </c>
      <c r="AA15" s="106">
        <f t="shared" si="5"/>
        <v>39565.956050000001</v>
      </c>
      <c r="AB15" s="106">
        <f t="shared" si="5"/>
        <v>9738.4799440000006</v>
      </c>
      <c r="AC15" s="106">
        <f t="shared" si="5"/>
        <v>14047</v>
      </c>
      <c r="AD15" s="107">
        <f t="shared" si="5"/>
        <v>206727.92115199997</v>
      </c>
      <c r="AE15" s="2"/>
    </row>
    <row r="16" spans="2:32" ht="16" customHeight="1" thickBot="1">
      <c r="B16" s="27"/>
      <c r="C16" s="28"/>
      <c r="D16" s="176">
        <f>D15*[1]Negocio!C82</f>
        <v>0</v>
      </c>
      <c r="E16" s="28"/>
      <c r="F16" s="28"/>
      <c r="G16" s="28"/>
      <c r="H16" s="28"/>
      <c r="I16" s="177"/>
      <c r="J16" s="177"/>
      <c r="K16" s="28"/>
      <c r="L16" s="28"/>
      <c r="M16" s="28"/>
      <c r="N16" s="28"/>
      <c r="O16" s="177"/>
      <c r="P16" s="27"/>
      <c r="Q16" s="27"/>
      <c r="R16" s="29"/>
      <c r="S16" s="29"/>
      <c r="T16" s="28"/>
      <c r="U16" s="28"/>
      <c r="V16" s="29"/>
      <c r="W16" s="29"/>
      <c r="X16" s="29"/>
      <c r="Y16" s="29"/>
      <c r="Z16" s="29"/>
      <c r="AA16" s="29"/>
      <c r="AB16" s="28"/>
      <c r="AC16" s="28"/>
      <c r="AD16" s="29"/>
      <c r="AF16" s="22"/>
    </row>
    <row r="17" spans="2:32">
      <c r="B17" s="10" t="s">
        <v>234</v>
      </c>
      <c r="C17" s="11"/>
      <c r="S17" s="2"/>
      <c r="AD17" s="2"/>
    </row>
    <row r="18" spans="2:32" ht="16">
      <c r="C18" s="11" t="s">
        <v>235</v>
      </c>
      <c r="D18" s="70">
        <v>4515.7439999999997</v>
      </c>
      <c r="E18" s="70">
        <v>23639.919839999999</v>
      </c>
      <c r="F18" s="70">
        <v>7141.649136</v>
      </c>
      <c r="G18" s="70">
        <v>0</v>
      </c>
      <c r="H18" s="70"/>
      <c r="I18" s="71">
        <f>SUM(D18:H18)</f>
        <v>35297.312976000001</v>
      </c>
      <c r="J18" s="70">
        <v>8220</v>
      </c>
      <c r="K18" s="70">
        <v>28117.342000000001</v>
      </c>
      <c r="L18" s="70">
        <v>0</v>
      </c>
      <c r="M18" s="70">
        <v>0</v>
      </c>
      <c r="N18" s="70">
        <v>69484.989091356052</v>
      </c>
      <c r="O18" s="71">
        <f>SUM(J18:N18)</f>
        <v>105822.33109135606</v>
      </c>
      <c r="P18" s="70"/>
      <c r="Q18" s="70"/>
      <c r="R18" s="70"/>
      <c r="S18" s="70"/>
      <c r="T18" s="70"/>
      <c r="U18" s="70"/>
      <c r="V18" s="71">
        <v>88714</v>
      </c>
      <c r="W18" s="70"/>
      <c r="X18" s="70"/>
      <c r="Y18" s="70"/>
      <c r="Z18" s="70"/>
      <c r="AA18" s="70"/>
      <c r="AB18" s="70"/>
      <c r="AC18" s="70"/>
      <c r="AD18" s="71">
        <f>SUM(W18:AC18)</f>
        <v>0</v>
      </c>
    </row>
    <row r="19" spans="2:32" ht="16">
      <c r="C19" s="11" t="s">
        <v>236</v>
      </c>
      <c r="D19" s="70">
        <v>478235.07034199999</v>
      </c>
      <c r="E19" s="70">
        <v>99437.642475599991</v>
      </c>
      <c r="F19" s="70">
        <v>158816.9101824</v>
      </c>
      <c r="G19" s="70">
        <v>43836.584880000002</v>
      </c>
      <c r="H19" s="70"/>
      <c r="I19" s="71">
        <f t="shared" ref="I19" si="6">SUM(D19:H19)</f>
        <v>780326.20788</v>
      </c>
      <c r="J19" s="70">
        <v>212642</v>
      </c>
      <c r="K19" s="70">
        <v>71668</v>
      </c>
      <c r="L19" s="70">
        <v>19713.717950000002</v>
      </c>
      <c r="M19" s="70">
        <v>23322.375400000001</v>
      </c>
      <c r="N19" s="70"/>
      <c r="O19" s="71">
        <f t="shared" ref="O19" si="7">SUM(J19:N19)</f>
        <v>327346.09335000004</v>
      </c>
      <c r="P19" s="70"/>
      <c r="Q19" s="70"/>
      <c r="R19" s="70"/>
      <c r="S19" s="70"/>
      <c r="T19" s="70"/>
      <c r="U19" s="70"/>
      <c r="V19" s="71">
        <v>214176</v>
      </c>
      <c r="W19" s="70"/>
      <c r="X19" s="70"/>
      <c r="Y19" s="70"/>
      <c r="Z19" s="70"/>
      <c r="AA19" s="70"/>
      <c r="AB19" s="70"/>
      <c r="AC19" s="70"/>
      <c r="AD19" s="71">
        <f t="shared" ref="AD19" si="8">SUM(W19:AC19)</f>
        <v>0</v>
      </c>
    </row>
    <row r="20" spans="2:32" s="94" customFormat="1" ht="16" customHeight="1">
      <c r="C20" s="16" t="s">
        <v>233</v>
      </c>
      <c r="D20" s="106">
        <f>SUM(D18:D19)</f>
        <v>482750.814342</v>
      </c>
      <c r="E20" s="106">
        <f t="shared" ref="E20:H20" si="9">SUM(E18:E19)</f>
        <v>123077.56231559999</v>
      </c>
      <c r="F20" s="106">
        <f t="shared" si="9"/>
        <v>165958.55931839999</v>
      </c>
      <c r="G20" s="106">
        <f t="shared" si="9"/>
        <v>43836.584880000002</v>
      </c>
      <c r="H20" s="106">
        <f t="shared" si="9"/>
        <v>0</v>
      </c>
      <c r="I20" s="107">
        <f>SUM(I18:I19)</f>
        <v>815623.52085600002</v>
      </c>
      <c r="J20" s="106">
        <f>SUM(J18:J19)</f>
        <v>220862</v>
      </c>
      <c r="K20" s="106">
        <f t="shared" ref="K20:AD20" si="10">SUM(K18:K19)</f>
        <v>99785.342000000004</v>
      </c>
      <c r="L20" s="106">
        <f t="shared" si="10"/>
        <v>19713.717950000002</v>
      </c>
      <c r="M20" s="106">
        <f t="shared" si="10"/>
        <v>23322.375400000001</v>
      </c>
      <c r="N20" s="106">
        <f t="shared" si="10"/>
        <v>69484.989091356052</v>
      </c>
      <c r="O20" s="107">
        <f t="shared" si="10"/>
        <v>433168.4244413561</v>
      </c>
      <c r="P20" s="106">
        <f t="shared" si="10"/>
        <v>0</v>
      </c>
      <c r="Q20" s="106">
        <f t="shared" si="10"/>
        <v>0</v>
      </c>
      <c r="R20" s="106">
        <f t="shared" si="10"/>
        <v>0</v>
      </c>
      <c r="S20" s="106">
        <f t="shared" si="10"/>
        <v>0</v>
      </c>
      <c r="T20" s="106">
        <f t="shared" si="10"/>
        <v>0</v>
      </c>
      <c r="U20" s="106">
        <f t="shared" si="10"/>
        <v>0</v>
      </c>
      <c r="V20" s="107">
        <f t="shared" si="10"/>
        <v>302890</v>
      </c>
      <c r="W20" s="106">
        <f t="shared" si="10"/>
        <v>0</v>
      </c>
      <c r="X20" s="106">
        <f t="shared" si="10"/>
        <v>0</v>
      </c>
      <c r="Y20" s="106">
        <f t="shared" si="10"/>
        <v>0</v>
      </c>
      <c r="Z20" s="106">
        <f t="shared" si="10"/>
        <v>0</v>
      </c>
      <c r="AA20" s="106">
        <f t="shared" si="10"/>
        <v>0</v>
      </c>
      <c r="AB20" s="106">
        <f t="shared" si="10"/>
        <v>0</v>
      </c>
      <c r="AC20" s="106">
        <f t="shared" si="10"/>
        <v>0</v>
      </c>
      <c r="AD20" s="107">
        <f t="shared" si="10"/>
        <v>0</v>
      </c>
      <c r="AE20" s="2"/>
    </row>
    <row r="21" spans="2:32" ht="16" customHeight="1" thickBot="1">
      <c r="B21" s="27"/>
      <c r="C21" s="28"/>
      <c r="D21" s="28"/>
      <c r="E21" s="28"/>
      <c r="F21" s="28"/>
      <c r="G21" s="28"/>
      <c r="H21" s="28"/>
      <c r="I21" s="28"/>
      <c r="J21" s="28"/>
      <c r="K21" s="28"/>
      <c r="L21" s="28"/>
      <c r="M21" s="28"/>
      <c r="N21" s="28"/>
      <c r="O21" s="28"/>
      <c r="P21" s="27"/>
      <c r="Q21" s="27"/>
      <c r="R21" s="29"/>
      <c r="S21" s="29"/>
      <c r="T21" s="28"/>
      <c r="U21" s="28"/>
      <c r="V21" s="29"/>
      <c r="W21" s="29"/>
      <c r="X21" s="29"/>
      <c r="Y21" s="29"/>
      <c r="Z21" s="29"/>
      <c r="AA21" s="29"/>
      <c r="AB21" s="28"/>
      <c r="AC21" s="28"/>
      <c r="AD21" s="29"/>
      <c r="AE21" s="22"/>
      <c r="AF21" s="22"/>
    </row>
    <row r="22" spans="2:32">
      <c r="B22" s="10" t="s">
        <v>237</v>
      </c>
      <c r="C22" s="11"/>
      <c r="S22" s="2"/>
      <c r="AD22" s="2"/>
    </row>
    <row r="23" spans="2:32" ht="16">
      <c r="C23" s="11" t="s">
        <v>238</v>
      </c>
      <c r="D23" s="12">
        <v>10</v>
      </c>
      <c r="E23" s="12">
        <f>21-3</f>
        <v>18</v>
      </c>
      <c r="F23" s="12">
        <v>25</v>
      </c>
      <c r="G23" s="12"/>
      <c r="H23" s="12"/>
      <c r="I23" s="13">
        <f>SUM(D23:H23)</f>
        <v>53</v>
      </c>
      <c r="J23" s="12">
        <v>1</v>
      </c>
      <c r="K23" s="12">
        <v>12</v>
      </c>
      <c r="L23" s="12">
        <v>8</v>
      </c>
      <c r="M23" s="12"/>
      <c r="N23" s="12"/>
      <c r="O23" s="13">
        <f>SUM(J23:N23)</f>
        <v>21</v>
      </c>
      <c r="P23" s="2">
        <v>19</v>
      </c>
      <c r="Q23" s="2">
        <v>26</v>
      </c>
      <c r="R23" s="2">
        <v>0</v>
      </c>
      <c r="S23" s="2">
        <v>17</v>
      </c>
      <c r="T23" s="12"/>
      <c r="U23" s="12"/>
      <c r="V23" s="13">
        <f>SUM(P23:S23)</f>
        <v>62</v>
      </c>
      <c r="W23" s="2">
        <v>38</v>
      </c>
      <c r="X23" s="2">
        <v>18</v>
      </c>
      <c r="Y23" s="2">
        <v>0</v>
      </c>
      <c r="Z23" s="2">
        <v>1</v>
      </c>
      <c r="AB23" s="12"/>
      <c r="AC23" s="12"/>
      <c r="AD23" s="13">
        <f>SUM(W23:Z23)</f>
        <v>57</v>
      </c>
    </row>
    <row r="24" spans="2:32" ht="32">
      <c r="C24" s="11" t="s">
        <v>239</v>
      </c>
      <c r="D24" s="178">
        <v>2</v>
      </c>
      <c r="E24" s="178">
        <v>3</v>
      </c>
      <c r="F24" s="178">
        <v>1</v>
      </c>
      <c r="G24" s="12"/>
      <c r="H24" s="12"/>
      <c r="I24" s="13">
        <f t="shared" ref="I24:I25" si="11">SUM(D24:H24)</f>
        <v>6</v>
      </c>
      <c r="J24" s="178">
        <v>2</v>
      </c>
      <c r="K24" s="178">
        <v>3</v>
      </c>
      <c r="L24" s="178">
        <v>6</v>
      </c>
      <c r="M24" s="12"/>
      <c r="N24" s="12"/>
      <c r="O24" s="13">
        <f t="shared" ref="O24:O27" si="12">SUM(J24:N24)</f>
        <v>11</v>
      </c>
      <c r="R24" s="2">
        <v>0</v>
      </c>
      <c r="S24" s="2"/>
      <c r="T24" s="12"/>
      <c r="U24" s="12"/>
      <c r="V24" s="13">
        <f t="shared" ref="V24:V27" si="13">SUM(P24:S24)</f>
        <v>0</v>
      </c>
      <c r="AB24" s="12"/>
      <c r="AC24" s="12"/>
      <c r="AD24" s="13">
        <f t="shared" ref="AD24:AD27" si="14">SUM(W24:Z24)</f>
        <v>0</v>
      </c>
    </row>
    <row r="25" spans="2:32" ht="16">
      <c r="C25" s="11" t="s">
        <v>240</v>
      </c>
      <c r="D25" s="12">
        <v>12</v>
      </c>
      <c r="E25" s="12">
        <v>14</v>
      </c>
      <c r="F25" s="12">
        <v>24</v>
      </c>
      <c r="G25" s="12"/>
      <c r="H25" s="12"/>
      <c r="I25" s="13">
        <f t="shared" si="11"/>
        <v>50</v>
      </c>
      <c r="J25" s="12">
        <v>1</v>
      </c>
      <c r="K25" s="12">
        <v>12</v>
      </c>
      <c r="L25" s="12">
        <v>9</v>
      </c>
      <c r="M25" s="12"/>
      <c r="N25" s="12"/>
      <c r="O25" s="13">
        <f t="shared" si="12"/>
        <v>22</v>
      </c>
      <c r="P25" s="2">
        <v>17</v>
      </c>
      <c r="Q25" s="2">
        <v>18</v>
      </c>
      <c r="R25" s="2">
        <v>0</v>
      </c>
      <c r="S25" s="2">
        <v>16</v>
      </c>
      <c r="T25" s="12"/>
      <c r="U25" s="12"/>
      <c r="V25" s="13">
        <f t="shared" si="13"/>
        <v>51</v>
      </c>
      <c r="W25" s="2">
        <v>34</v>
      </c>
      <c r="X25" s="2">
        <v>12</v>
      </c>
      <c r="Y25" s="2">
        <v>0</v>
      </c>
      <c r="Z25" s="2">
        <v>0</v>
      </c>
      <c r="AB25" s="12"/>
      <c r="AC25" s="12"/>
      <c r="AD25" s="13">
        <f t="shared" si="14"/>
        <v>46</v>
      </c>
    </row>
    <row r="26" spans="2:32" ht="16">
      <c r="C26" s="11" t="s">
        <v>241</v>
      </c>
      <c r="D26" s="101">
        <f t="shared" ref="D26" si="15">D25/(D24+D23)</f>
        <v>1</v>
      </c>
      <c r="E26" s="101">
        <f>E25/(E24+E23)</f>
        <v>0.66666666666666663</v>
      </c>
      <c r="F26" s="101">
        <f t="shared" ref="F26" si="16">F25/(F24+F23)</f>
        <v>0.92307692307692313</v>
      </c>
      <c r="G26" s="101"/>
      <c r="H26" s="101"/>
      <c r="I26" s="25">
        <f t="shared" ref="I26:J26" si="17">I25/(I24+I23)</f>
        <v>0.84745762711864403</v>
      </c>
      <c r="J26" s="101">
        <f t="shared" si="17"/>
        <v>0.33333333333333331</v>
      </c>
      <c r="K26" s="101">
        <f>K25/(K24+K23)</f>
        <v>0.8</v>
      </c>
      <c r="L26" s="101">
        <f t="shared" ref="L26:S26" si="18">L25/(L24+L23)</f>
        <v>0.6428571428571429</v>
      </c>
      <c r="M26" s="101"/>
      <c r="N26" s="101"/>
      <c r="O26" s="25">
        <f t="shared" si="18"/>
        <v>0.6875</v>
      </c>
      <c r="P26" s="101">
        <f t="shared" si="18"/>
        <v>0.89473684210526316</v>
      </c>
      <c r="Q26" s="101">
        <f t="shared" si="18"/>
        <v>0.69230769230769229</v>
      </c>
      <c r="R26" s="101">
        <v>0</v>
      </c>
      <c r="S26" s="101">
        <f t="shared" si="18"/>
        <v>0.94117647058823528</v>
      </c>
      <c r="T26" s="101"/>
      <c r="U26" s="101"/>
      <c r="V26" s="25">
        <f t="shared" ref="V26:Z26" si="19">V25/(V24+V23)</f>
        <v>0.82258064516129037</v>
      </c>
      <c r="W26" s="101">
        <f t="shared" si="19"/>
        <v>0.89473684210526316</v>
      </c>
      <c r="X26" s="101">
        <f t="shared" si="19"/>
        <v>0.66666666666666663</v>
      </c>
      <c r="Y26" s="101">
        <v>0</v>
      </c>
      <c r="Z26" s="101">
        <f t="shared" si="19"/>
        <v>0</v>
      </c>
      <c r="AA26" s="101"/>
      <c r="AB26" s="101"/>
      <c r="AC26" s="101"/>
      <c r="AD26" s="25">
        <f t="shared" ref="AD26" si="20">AD25/(AD24+AD23)</f>
        <v>0.80701754385964908</v>
      </c>
    </row>
    <row r="27" spans="2:32" ht="16">
      <c r="C27" s="11" t="s">
        <v>242</v>
      </c>
      <c r="D27" s="12">
        <v>0</v>
      </c>
      <c r="E27" s="12">
        <v>7</v>
      </c>
      <c r="F27" s="12">
        <v>2</v>
      </c>
      <c r="G27" s="12"/>
      <c r="H27" s="12"/>
      <c r="I27" s="13">
        <f t="shared" ref="I27" si="21">SUM(D27:H27)</f>
        <v>9</v>
      </c>
      <c r="J27" s="12">
        <v>2</v>
      </c>
      <c r="K27" s="12">
        <v>3</v>
      </c>
      <c r="L27" s="12">
        <v>5</v>
      </c>
      <c r="M27" s="12"/>
      <c r="N27" s="12"/>
      <c r="O27" s="13">
        <f t="shared" si="12"/>
        <v>10</v>
      </c>
      <c r="P27" s="2">
        <v>2</v>
      </c>
      <c r="Q27" s="2">
        <v>8</v>
      </c>
      <c r="R27" s="2">
        <v>0</v>
      </c>
      <c r="S27" s="2">
        <v>1</v>
      </c>
      <c r="T27" s="12"/>
      <c r="U27" s="12"/>
      <c r="V27" s="13">
        <f t="shared" si="13"/>
        <v>11</v>
      </c>
      <c r="W27" s="2">
        <v>4</v>
      </c>
      <c r="X27" s="2">
        <v>6</v>
      </c>
      <c r="Y27" s="2">
        <v>0</v>
      </c>
      <c r="Z27" s="2">
        <v>1</v>
      </c>
      <c r="AB27" s="12"/>
      <c r="AC27" s="12"/>
      <c r="AD27" s="13">
        <f t="shared" si="14"/>
        <v>11</v>
      </c>
    </row>
    <row r="28" spans="2:32" ht="16" customHeight="1" thickBot="1">
      <c r="B28" s="27"/>
      <c r="C28" s="28"/>
      <c r="D28" s="27"/>
      <c r="E28" s="27"/>
      <c r="F28" s="27"/>
      <c r="G28" s="27"/>
      <c r="H28" s="27"/>
      <c r="I28" s="27"/>
      <c r="J28" s="27"/>
      <c r="K28" s="27"/>
      <c r="L28" s="27"/>
      <c r="M28" s="27"/>
      <c r="N28" s="27"/>
      <c r="O28" s="27"/>
      <c r="P28" s="27"/>
      <c r="Q28" s="27"/>
      <c r="R28" s="29"/>
      <c r="S28" s="29"/>
      <c r="T28" s="27"/>
      <c r="U28" s="27"/>
      <c r="V28" s="29"/>
      <c r="W28" s="29"/>
      <c r="X28" s="29"/>
      <c r="Y28" s="29"/>
      <c r="Z28" s="29"/>
      <c r="AA28" s="29"/>
      <c r="AB28" s="27"/>
      <c r="AC28" s="27"/>
      <c r="AD28" s="29"/>
      <c r="AE28" s="22"/>
      <c r="AF28" s="22"/>
    </row>
    <row r="29" spans="2:32">
      <c r="B29" s="10" t="s">
        <v>243</v>
      </c>
      <c r="C29" s="11"/>
      <c r="S29" s="2"/>
      <c r="AD29" s="2"/>
    </row>
    <row r="30" spans="2:32" ht="16">
      <c r="C30" s="11" t="s">
        <v>244</v>
      </c>
      <c r="D30" s="12">
        <v>28</v>
      </c>
      <c r="E30" s="12">
        <f>27+2</f>
        <v>29</v>
      </c>
      <c r="F30" s="12">
        <v>0</v>
      </c>
      <c r="G30" s="12">
        <v>0</v>
      </c>
      <c r="H30" s="12">
        <v>0</v>
      </c>
      <c r="I30" s="13">
        <f>SUM(D30:H30)</f>
        <v>57</v>
      </c>
      <c r="J30" s="12">
        <v>20</v>
      </c>
      <c r="K30" s="12">
        <f>2+31</f>
        <v>33</v>
      </c>
      <c r="L30" s="12">
        <v>0</v>
      </c>
      <c r="M30" s="12">
        <v>0</v>
      </c>
      <c r="N30" s="12">
        <v>0</v>
      </c>
      <c r="O30" s="13">
        <f>SUM(J30:N30)</f>
        <v>53</v>
      </c>
      <c r="P30" s="12">
        <v>22</v>
      </c>
      <c r="Q30" s="12">
        <v>30</v>
      </c>
      <c r="R30" s="12"/>
      <c r="S30" s="12"/>
      <c r="T30" s="12"/>
      <c r="U30" s="12"/>
      <c r="V30" s="113" t="s">
        <v>60</v>
      </c>
      <c r="W30" s="12"/>
      <c r="X30" s="12">
        <v>23</v>
      </c>
      <c r="Y30" s="12"/>
      <c r="Z30" s="12"/>
      <c r="AA30" s="12"/>
      <c r="AB30" s="12"/>
      <c r="AC30" s="12"/>
      <c r="AD30" s="113" t="s">
        <v>60</v>
      </c>
    </row>
    <row r="31" spans="2:32" ht="16">
      <c r="C31" s="11" t="s">
        <v>245</v>
      </c>
      <c r="D31" s="12">
        <v>14</v>
      </c>
      <c r="E31" s="12">
        <f>61+10</f>
        <v>71</v>
      </c>
      <c r="F31" s="12">
        <v>0</v>
      </c>
      <c r="G31" s="12">
        <v>0</v>
      </c>
      <c r="H31" s="12">
        <v>0</v>
      </c>
      <c r="I31" s="13">
        <f t="shared" ref="I31:I32" si="22">SUM(D31:H31)</f>
        <v>85</v>
      </c>
      <c r="J31" s="12">
        <v>38</v>
      </c>
      <c r="K31" s="12">
        <f>10+54</f>
        <v>64</v>
      </c>
      <c r="L31" s="12">
        <v>0</v>
      </c>
      <c r="M31" s="12">
        <v>0</v>
      </c>
      <c r="N31" s="12">
        <v>0</v>
      </c>
      <c r="O31" s="13">
        <f t="shared" ref="O31:O32" si="23">SUM(J31:N31)</f>
        <v>102</v>
      </c>
      <c r="P31" s="12">
        <v>39</v>
      </c>
      <c r="Q31" s="12">
        <v>46</v>
      </c>
      <c r="R31" s="12"/>
      <c r="S31" s="12"/>
      <c r="T31" s="12"/>
      <c r="U31" s="12"/>
      <c r="V31" s="113" t="s">
        <v>60</v>
      </c>
      <c r="W31" s="12"/>
      <c r="X31" s="12">
        <v>43</v>
      </c>
      <c r="Y31" s="12"/>
      <c r="Z31" s="12"/>
      <c r="AA31" s="12"/>
      <c r="AB31" s="12"/>
      <c r="AC31" s="12"/>
      <c r="AD31" s="113" t="s">
        <v>60</v>
      </c>
    </row>
    <row r="32" spans="2:32" s="94" customFormat="1" ht="16">
      <c r="C32" s="16" t="s">
        <v>246</v>
      </c>
      <c r="D32" s="18">
        <f>SUM(D30:D31)</f>
        <v>42</v>
      </c>
      <c r="E32" s="18">
        <f>SUM(E30:E31)</f>
        <v>100</v>
      </c>
      <c r="F32" s="18">
        <f>SUM(F30:F31)</f>
        <v>0</v>
      </c>
      <c r="G32" s="18">
        <f t="shared" ref="G32:H32" si="24">SUM(G30:G31)</f>
        <v>0</v>
      </c>
      <c r="H32" s="18">
        <f t="shared" si="24"/>
        <v>0</v>
      </c>
      <c r="I32" s="19">
        <f t="shared" si="22"/>
        <v>142</v>
      </c>
      <c r="J32" s="18">
        <f>SUM(J30:J31)</f>
        <v>58</v>
      </c>
      <c r="K32" s="18">
        <f>SUM(K30:K31)</f>
        <v>97</v>
      </c>
      <c r="L32" s="18">
        <f>SUM(L30:L31)</f>
        <v>0</v>
      </c>
      <c r="M32" s="18">
        <f t="shared" ref="M32:N32" si="25">SUM(M30:M31)</f>
        <v>0</v>
      </c>
      <c r="N32" s="18">
        <f t="shared" si="25"/>
        <v>0</v>
      </c>
      <c r="O32" s="19">
        <f t="shared" si="23"/>
        <v>155</v>
      </c>
      <c r="P32" s="18">
        <v>61</v>
      </c>
      <c r="Q32" s="18">
        <v>74</v>
      </c>
      <c r="R32" s="18"/>
      <c r="S32" s="18">
        <v>36</v>
      </c>
      <c r="T32" s="18"/>
      <c r="U32" s="18"/>
      <c r="V32" s="19">
        <f t="shared" ref="V32" si="26">SUM(P32:S32)</f>
        <v>171</v>
      </c>
      <c r="W32" s="18">
        <v>59</v>
      </c>
      <c r="X32" s="18">
        <f>SUM(X30:X31)</f>
        <v>66</v>
      </c>
      <c r="Y32" s="18">
        <v>0</v>
      </c>
      <c r="Z32" s="18">
        <v>0</v>
      </c>
      <c r="AA32" s="18">
        <v>17</v>
      </c>
      <c r="AB32" s="18"/>
      <c r="AC32" s="18"/>
      <c r="AD32" s="19">
        <f>SUM(W32:AA32)</f>
        <v>142</v>
      </c>
    </row>
    <row r="33" spans="2:32">
      <c r="B33" s="26" t="s">
        <v>247</v>
      </c>
      <c r="C33" s="126"/>
      <c r="D33" s="92"/>
      <c r="E33" s="92"/>
      <c r="F33" s="92"/>
      <c r="G33" s="92"/>
      <c r="H33" s="92"/>
      <c r="I33" s="93"/>
      <c r="J33" s="92"/>
      <c r="K33" s="92"/>
      <c r="L33" s="92"/>
      <c r="M33" s="92"/>
      <c r="N33" s="92"/>
      <c r="O33" s="93"/>
      <c r="P33" s="92"/>
      <c r="Q33" s="92"/>
      <c r="R33" s="92"/>
      <c r="S33" s="92"/>
      <c r="T33" s="92"/>
      <c r="U33" s="92"/>
      <c r="V33" s="93"/>
      <c r="W33" s="92"/>
      <c r="X33" s="92"/>
      <c r="Y33" s="92"/>
      <c r="Z33" s="92"/>
      <c r="AA33" s="92"/>
      <c r="AB33" s="92"/>
      <c r="AC33" s="92"/>
      <c r="AD33" s="93"/>
    </row>
    <row r="34" spans="2:32" ht="16" customHeight="1" thickBot="1">
      <c r="B34" s="27"/>
      <c r="C34" s="28"/>
      <c r="D34" s="27"/>
      <c r="E34" s="27"/>
      <c r="F34" s="27"/>
      <c r="G34" s="27"/>
      <c r="H34" s="27"/>
      <c r="I34" s="179">
        <f>+(I32+O32)/500</f>
        <v>0.59399999999999997</v>
      </c>
      <c r="J34" s="27"/>
      <c r="K34" s="27"/>
      <c r="L34" s="27"/>
      <c r="M34" s="27"/>
      <c r="N34" s="27"/>
      <c r="O34" s="179">
        <f>+O32/500</f>
        <v>0.31</v>
      </c>
      <c r="P34" s="27"/>
      <c r="Q34" s="27"/>
      <c r="R34" s="27"/>
      <c r="S34" s="27"/>
      <c r="T34" s="27"/>
      <c r="U34" s="27"/>
      <c r="V34" s="29"/>
      <c r="W34" s="29"/>
      <c r="X34" s="29"/>
      <c r="Y34" s="29"/>
      <c r="Z34" s="29"/>
      <c r="AA34" s="29"/>
      <c r="AB34" s="27"/>
      <c r="AC34" s="27"/>
      <c r="AD34" s="29"/>
      <c r="AE34" s="22"/>
      <c r="AF34" s="22"/>
    </row>
    <row r="35" spans="2:32">
      <c r="B35" s="10" t="s">
        <v>248</v>
      </c>
      <c r="C35" s="11"/>
      <c r="D35" s="12"/>
      <c r="E35" s="12"/>
      <c r="J35" s="12"/>
      <c r="K35" s="12"/>
      <c r="S35" s="2"/>
      <c r="AD35" s="2"/>
    </row>
    <row r="36" spans="2:32" ht="16">
      <c r="B36" s="10"/>
      <c r="C36" s="11" t="s">
        <v>249</v>
      </c>
      <c r="D36" s="12">
        <v>2</v>
      </c>
      <c r="E36" s="12">
        <v>5</v>
      </c>
      <c r="F36" s="12"/>
      <c r="G36" s="12"/>
      <c r="H36" s="12"/>
      <c r="I36" s="13">
        <f>SUM(D36:H36)</f>
        <v>7</v>
      </c>
      <c r="J36" s="12">
        <v>3</v>
      </c>
      <c r="K36" s="12">
        <v>4</v>
      </c>
      <c r="L36" s="12"/>
      <c r="M36" s="12"/>
      <c r="N36" s="12"/>
      <c r="O36" s="13">
        <f>SUM(J36:N36)</f>
        <v>7</v>
      </c>
      <c r="P36" s="12">
        <v>5</v>
      </c>
      <c r="Q36" s="12">
        <v>1</v>
      </c>
      <c r="R36" s="12"/>
      <c r="S36" s="12"/>
      <c r="T36" s="12"/>
      <c r="U36" s="12"/>
      <c r="V36" s="13">
        <f>SUM(P36:U36)</f>
        <v>6</v>
      </c>
      <c r="W36" s="12"/>
      <c r="X36" s="12"/>
      <c r="Y36" s="12"/>
      <c r="Z36" s="12"/>
      <c r="AA36" s="12"/>
      <c r="AB36" s="12"/>
      <c r="AC36" s="12"/>
      <c r="AD36" s="13">
        <f>SUM(X36:AA36)</f>
        <v>0</v>
      </c>
    </row>
    <row r="37" spans="2:32" ht="16">
      <c r="C37" s="11" t="s">
        <v>250</v>
      </c>
      <c r="D37" s="12">
        <v>2</v>
      </c>
      <c r="E37" s="12">
        <v>18</v>
      </c>
      <c r="F37" s="12">
        <v>0</v>
      </c>
      <c r="G37" s="12">
        <v>0</v>
      </c>
      <c r="H37" s="12">
        <v>0</v>
      </c>
      <c r="I37" s="13">
        <f>SUM(D37:H37)</f>
        <v>20</v>
      </c>
      <c r="J37" s="12">
        <v>10</v>
      </c>
      <c r="K37" s="12">
        <v>2</v>
      </c>
      <c r="L37" s="12">
        <v>9</v>
      </c>
      <c r="M37" s="12">
        <v>0</v>
      </c>
      <c r="N37" s="12">
        <v>0</v>
      </c>
      <c r="O37" s="13">
        <f>SUM(J37:N37)</f>
        <v>21</v>
      </c>
      <c r="P37" s="12">
        <v>22</v>
      </c>
      <c r="Q37" s="12">
        <v>0</v>
      </c>
      <c r="R37" s="12">
        <v>0</v>
      </c>
      <c r="S37" s="12">
        <v>0</v>
      </c>
      <c r="T37" s="12">
        <v>0</v>
      </c>
      <c r="U37" s="12">
        <v>0</v>
      </c>
      <c r="V37" s="13">
        <f>SUM(P37:U37)</f>
        <v>22</v>
      </c>
      <c r="W37" s="12"/>
      <c r="X37" s="12"/>
      <c r="Y37" s="12"/>
      <c r="Z37" s="12"/>
      <c r="AA37" s="12"/>
      <c r="AB37" s="12"/>
      <c r="AC37" s="12"/>
      <c r="AD37" s="13">
        <f>SUM(W37:Z37)</f>
        <v>0</v>
      </c>
    </row>
    <row r="38" spans="2:32" ht="16">
      <c r="C38" s="11" t="s">
        <v>251</v>
      </c>
      <c r="D38" s="12">
        <f>11+13</f>
        <v>24</v>
      </c>
      <c r="E38" s="12">
        <v>79</v>
      </c>
      <c r="F38" s="12">
        <v>0</v>
      </c>
      <c r="G38" s="12">
        <v>0</v>
      </c>
      <c r="H38" s="12">
        <v>0</v>
      </c>
      <c r="I38" s="13">
        <f t="shared" ref="I38:I39" si="27">SUM(D38:H38)</f>
        <v>103</v>
      </c>
      <c r="J38" s="12">
        <v>21</v>
      </c>
      <c r="K38" s="12">
        <v>65</v>
      </c>
      <c r="L38" s="12">
        <v>0</v>
      </c>
      <c r="M38" s="12">
        <v>0</v>
      </c>
      <c r="N38" s="12">
        <v>0</v>
      </c>
      <c r="O38" s="13">
        <f t="shared" ref="O38:O39" si="28">SUM(J38:N38)</f>
        <v>86</v>
      </c>
      <c r="P38" s="12">
        <v>82</v>
      </c>
      <c r="Q38" s="12">
        <v>12</v>
      </c>
      <c r="R38" s="12">
        <v>0</v>
      </c>
      <c r="S38" s="12">
        <v>0</v>
      </c>
      <c r="T38" s="12">
        <v>0</v>
      </c>
      <c r="U38" s="12">
        <v>0</v>
      </c>
      <c r="V38" s="13">
        <f>SUM(P38:U38)</f>
        <v>94</v>
      </c>
      <c r="W38" s="12"/>
      <c r="X38" s="12"/>
      <c r="Y38" s="12"/>
      <c r="Z38" s="12"/>
      <c r="AA38" s="12"/>
      <c r="AB38" s="12"/>
      <c r="AC38" s="12"/>
      <c r="AD38" s="13">
        <f t="shared" ref="AD38" si="29">SUM(W38:Z38)</f>
        <v>0</v>
      </c>
    </row>
    <row r="39" spans="2:32" s="94" customFormat="1" ht="16">
      <c r="C39" s="16" t="s">
        <v>252</v>
      </c>
      <c r="D39" s="18">
        <f>SUM(D37:D38)</f>
        <v>26</v>
      </c>
      <c r="E39" s="18">
        <f>SUM(E37:E38)</f>
        <v>97</v>
      </c>
      <c r="F39" s="18">
        <f>SUM(F37:F38)</f>
        <v>0</v>
      </c>
      <c r="G39" s="18">
        <f t="shared" ref="G39:H39" si="30">SUM(G37:G38)</f>
        <v>0</v>
      </c>
      <c r="H39" s="18">
        <f t="shared" si="30"/>
        <v>0</v>
      </c>
      <c r="I39" s="19">
        <f t="shared" si="27"/>
        <v>123</v>
      </c>
      <c r="J39" s="18">
        <f>SUM(J37:J38)</f>
        <v>31</v>
      </c>
      <c r="K39" s="18">
        <f>SUM(K37:K38)</f>
        <v>67</v>
      </c>
      <c r="L39" s="18">
        <f>SUM(L37:L38)</f>
        <v>9</v>
      </c>
      <c r="M39" s="18">
        <f t="shared" ref="M39:N39" si="31">SUM(M37:M38)</f>
        <v>0</v>
      </c>
      <c r="N39" s="18">
        <f t="shared" si="31"/>
        <v>0</v>
      </c>
      <c r="O39" s="19">
        <f t="shared" si="28"/>
        <v>107</v>
      </c>
      <c r="P39" s="18">
        <f>SUM(P37:P38)</f>
        <v>104</v>
      </c>
      <c r="Q39" s="18">
        <f>SUM(Q37:Q38)</f>
        <v>12</v>
      </c>
      <c r="R39" s="18">
        <v>0</v>
      </c>
      <c r="S39" s="18">
        <v>0</v>
      </c>
      <c r="T39" s="18">
        <v>0</v>
      </c>
      <c r="U39" s="18">
        <v>0</v>
      </c>
      <c r="V39" s="19">
        <f t="shared" ref="V39" si="32">SUM(P39:S39)</f>
        <v>116</v>
      </c>
      <c r="W39" s="18">
        <v>0</v>
      </c>
      <c r="X39" s="18">
        <v>0</v>
      </c>
      <c r="Y39" s="18">
        <v>0</v>
      </c>
      <c r="Z39" s="18">
        <v>0</v>
      </c>
      <c r="AA39" s="18">
        <v>0</v>
      </c>
      <c r="AB39" s="18">
        <v>0</v>
      </c>
      <c r="AC39" s="18">
        <v>0</v>
      </c>
      <c r="AD39" s="19">
        <f>SUM(W39:AC39)</f>
        <v>0</v>
      </c>
    </row>
    <row r="40" spans="2:32">
      <c r="B40" s="26" t="s">
        <v>253</v>
      </c>
      <c r="C40" s="126"/>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row>
    <row r="41" spans="2:32" ht="16" customHeight="1" thickBot="1">
      <c r="B41" s="27"/>
      <c r="C41" s="28"/>
      <c r="D41" s="27"/>
      <c r="E41" s="27"/>
      <c r="F41" s="27"/>
      <c r="G41" s="27"/>
      <c r="H41" s="27"/>
      <c r="I41" s="27"/>
      <c r="J41" s="27"/>
      <c r="K41" s="27"/>
      <c r="L41" s="27"/>
      <c r="M41" s="27"/>
      <c r="N41" s="27"/>
      <c r="O41" s="27"/>
      <c r="P41" s="27"/>
      <c r="Q41" s="27"/>
      <c r="R41" s="27"/>
      <c r="S41" s="27"/>
      <c r="T41" s="27"/>
      <c r="U41" s="27"/>
      <c r="V41" s="29"/>
      <c r="W41" s="29"/>
      <c r="X41" s="29"/>
      <c r="Y41" s="29"/>
      <c r="Z41" s="29"/>
      <c r="AA41" s="29"/>
      <c r="AB41" s="27"/>
      <c r="AC41" s="27"/>
      <c r="AD41" s="29"/>
      <c r="AE41" s="22"/>
      <c r="AF41" s="22"/>
    </row>
    <row r="42" spans="2:32">
      <c r="B42" s="66"/>
    </row>
    <row r="43" spans="2:32">
      <c r="B43" s="66"/>
    </row>
    <row r="44" spans="2:32">
      <c r="B44" s="66"/>
    </row>
    <row r="45" spans="2:32" ht="21">
      <c r="C45" s="77"/>
    </row>
    <row r="46" spans="2:32">
      <c r="B46" s="66"/>
    </row>
    <row r="47" spans="2:32">
      <c r="B47" s="66"/>
    </row>
    <row r="49" spans="2:3">
      <c r="B49" s="66"/>
    </row>
    <row r="50" spans="2:3" ht="19">
      <c r="B50" s="66"/>
      <c r="C50" s="78"/>
    </row>
    <row r="51" spans="2:3" ht="19">
      <c r="B51" s="66"/>
      <c r="C51" s="78"/>
    </row>
    <row r="52" spans="2:3">
      <c r="B52" s="66"/>
    </row>
    <row r="53" spans="2:3">
      <c r="B53" s="66"/>
    </row>
    <row r="54" spans="2:3">
      <c r="B54" s="66"/>
    </row>
    <row r="55" spans="2:3">
      <c r="B55" s="66"/>
    </row>
    <row r="56" spans="2:3">
      <c r="B56" s="66"/>
    </row>
    <row r="57" spans="2:3">
      <c r="B57" s="66"/>
    </row>
    <row r="58" spans="2:3">
      <c r="B58" s="66"/>
    </row>
    <row r="59" spans="2:3">
      <c r="B59" s="66"/>
    </row>
    <row r="60" spans="2:3">
      <c r="B60" s="66"/>
    </row>
    <row r="61" spans="2:3">
      <c r="B61" s="66"/>
    </row>
    <row r="62" spans="2:3">
      <c r="B62" s="66"/>
    </row>
    <row r="63" spans="2:3">
      <c r="B63" s="66"/>
    </row>
    <row r="64" spans="2:3">
      <c r="B64" s="66"/>
    </row>
    <row r="65" spans="2:2">
      <c r="B65" s="66"/>
    </row>
    <row r="66" spans="2:2">
      <c r="B66" s="66"/>
    </row>
    <row r="67" spans="2:2">
      <c r="B67" s="66"/>
    </row>
    <row r="68" spans="2:2">
      <c r="B68" s="66"/>
    </row>
    <row r="69" spans="2:2">
      <c r="B69" s="66"/>
    </row>
    <row r="70" spans="2:2">
      <c r="B70" s="66"/>
    </row>
    <row r="71" spans="2:2">
      <c r="B71" s="66"/>
    </row>
    <row r="72" spans="2:2">
      <c r="B72" s="66"/>
    </row>
    <row r="73" spans="2:2">
      <c r="B73" s="66"/>
    </row>
    <row r="74" spans="2:2">
      <c r="B74" s="66"/>
    </row>
    <row r="75" spans="2:2">
      <c r="B75" s="66"/>
    </row>
    <row r="76" spans="2:2">
      <c r="B76" s="66"/>
    </row>
    <row r="77" spans="2:2">
      <c r="B77" s="66"/>
    </row>
    <row r="78" spans="2:2">
      <c r="B78" s="66"/>
    </row>
    <row r="79" spans="2:2">
      <c r="B79" s="66"/>
    </row>
    <row r="80" spans="2:2">
      <c r="B80" s="66"/>
    </row>
    <row r="81" spans="2:2">
      <c r="B81" s="66"/>
    </row>
    <row r="82" spans="2:2">
      <c r="B82" s="66"/>
    </row>
    <row r="83" spans="2:2">
      <c r="B83" s="66"/>
    </row>
    <row r="84" spans="2:2">
      <c r="B84" s="66"/>
    </row>
    <row r="85" spans="2:2">
      <c r="B85" s="66"/>
    </row>
    <row r="86" spans="2:2">
      <c r="B86" s="66"/>
    </row>
    <row r="87" spans="2:2">
      <c r="B87" s="66"/>
    </row>
    <row r="88" spans="2:2">
      <c r="B88" s="66"/>
    </row>
    <row r="89" spans="2:2">
      <c r="B89" s="66"/>
    </row>
    <row r="90" spans="2:2">
      <c r="B90" s="66"/>
    </row>
    <row r="91" spans="2:2">
      <c r="B91" s="66"/>
    </row>
    <row r="92" spans="2:2">
      <c r="B92" s="66"/>
    </row>
    <row r="93" spans="2:2">
      <c r="B93" s="66"/>
    </row>
    <row r="94" spans="2:2">
      <c r="B94" s="66"/>
    </row>
    <row r="95" spans="2:2">
      <c r="B95" s="66"/>
    </row>
    <row r="96" spans="2:2">
      <c r="B96" s="66"/>
    </row>
    <row r="97" spans="2:2">
      <c r="B97" s="66"/>
    </row>
    <row r="98" spans="2:2">
      <c r="B98" s="66"/>
    </row>
    <row r="99" spans="2:2">
      <c r="B99" s="66"/>
    </row>
    <row r="100" spans="2:2">
      <c r="B100" s="66"/>
    </row>
    <row r="101" spans="2:2">
      <c r="B101" s="66"/>
    </row>
    <row r="102" spans="2:2">
      <c r="B102" s="66"/>
    </row>
    <row r="103" spans="2:2">
      <c r="B103" s="66"/>
    </row>
    <row r="104" spans="2:2">
      <c r="B104" s="66"/>
    </row>
    <row r="105" spans="2:2">
      <c r="B105" s="66"/>
    </row>
    <row r="106" spans="2:2">
      <c r="B106" s="66"/>
    </row>
    <row r="107" spans="2:2">
      <c r="B107" s="66"/>
    </row>
    <row r="108" spans="2:2">
      <c r="B108" s="66"/>
    </row>
    <row r="109" spans="2:2">
      <c r="B109" s="66"/>
    </row>
    <row r="110" spans="2:2">
      <c r="B110" s="66"/>
    </row>
    <row r="111" spans="2:2">
      <c r="B111" s="66"/>
    </row>
    <row r="112" spans="2:2">
      <c r="B112" s="66"/>
    </row>
    <row r="113" spans="2:2">
      <c r="B113" s="66"/>
    </row>
    <row r="114" spans="2:2">
      <c r="B114" s="66"/>
    </row>
    <row r="115" spans="2:2">
      <c r="B115" s="66"/>
    </row>
    <row r="116" spans="2:2">
      <c r="B116" s="66"/>
    </row>
    <row r="117" spans="2:2">
      <c r="B117" s="66"/>
    </row>
    <row r="118" spans="2:2">
      <c r="B118" s="66"/>
    </row>
    <row r="119" spans="2:2">
      <c r="B119" s="66"/>
    </row>
    <row r="120" spans="2:2">
      <c r="B120" s="66"/>
    </row>
    <row r="121" spans="2:2">
      <c r="B121" s="66"/>
    </row>
    <row r="122" spans="2:2">
      <c r="B122" s="66"/>
    </row>
    <row r="123" spans="2:2">
      <c r="B123" s="66"/>
    </row>
    <row r="124" spans="2:2">
      <c r="B124" s="66"/>
    </row>
    <row r="125" spans="2:2">
      <c r="B125" s="66"/>
    </row>
    <row r="126" spans="2:2">
      <c r="B126" s="66"/>
    </row>
    <row r="127" spans="2:2">
      <c r="B127" s="66"/>
    </row>
    <row r="128" spans="2:2">
      <c r="B128" s="66"/>
    </row>
    <row r="129" spans="2:2">
      <c r="B129" s="66"/>
    </row>
    <row r="130" spans="2:2">
      <c r="B130" s="66"/>
    </row>
    <row r="131" spans="2:2">
      <c r="B131" s="66"/>
    </row>
    <row r="132" spans="2:2">
      <c r="B132" s="66"/>
    </row>
    <row r="133" spans="2:2">
      <c r="B133" s="66"/>
    </row>
    <row r="134" spans="2:2">
      <c r="B134" s="66"/>
    </row>
    <row r="135" spans="2:2">
      <c r="B135" s="66"/>
    </row>
    <row r="136" spans="2:2">
      <c r="B136" s="66"/>
    </row>
    <row r="137" spans="2:2">
      <c r="B137" s="66"/>
    </row>
    <row r="138" spans="2:2">
      <c r="B138" s="66"/>
    </row>
    <row r="139" spans="2:2">
      <c r="B139" s="66"/>
    </row>
    <row r="140" spans="2:2">
      <c r="B140" s="66"/>
    </row>
    <row r="141" spans="2:2">
      <c r="B141" s="66"/>
    </row>
    <row r="142" spans="2:2">
      <c r="B142" s="66"/>
    </row>
    <row r="143" spans="2:2">
      <c r="B143" s="66"/>
    </row>
    <row r="144" spans="2:2">
      <c r="B144" s="66"/>
    </row>
    <row r="145" spans="2:2">
      <c r="B145" s="66"/>
    </row>
    <row r="146" spans="2:2">
      <c r="B146" s="66"/>
    </row>
    <row r="147" spans="2:2">
      <c r="B147" s="66"/>
    </row>
    <row r="148" spans="2:2">
      <c r="B148" s="66"/>
    </row>
    <row r="149" spans="2:2">
      <c r="B149" s="66"/>
    </row>
    <row r="150" spans="2:2">
      <c r="B150" s="66"/>
    </row>
    <row r="151" spans="2:2">
      <c r="B151" s="66"/>
    </row>
    <row r="152" spans="2:2">
      <c r="B152" s="66"/>
    </row>
    <row r="153" spans="2:2">
      <c r="B153" s="66"/>
    </row>
    <row r="154" spans="2:2">
      <c r="B154" s="66"/>
    </row>
    <row r="155" spans="2:2">
      <c r="B155" s="66"/>
    </row>
    <row r="156" spans="2:2">
      <c r="B156" s="66"/>
    </row>
    <row r="157" spans="2:2">
      <c r="B157" s="66"/>
    </row>
    <row r="158" spans="2:2">
      <c r="B158" s="66"/>
    </row>
    <row r="159" spans="2:2">
      <c r="B159" s="66"/>
    </row>
    <row r="160" spans="2:2">
      <c r="B160" s="66"/>
    </row>
    <row r="161" spans="2:2">
      <c r="B161" s="66"/>
    </row>
    <row r="162" spans="2:2">
      <c r="B162" s="66"/>
    </row>
    <row r="163" spans="2:2">
      <c r="B163" s="66"/>
    </row>
    <row r="164" spans="2:2">
      <c r="B164" s="66"/>
    </row>
    <row r="165" spans="2:2">
      <c r="B165" s="66"/>
    </row>
    <row r="166" spans="2:2">
      <c r="B166" s="66"/>
    </row>
    <row r="167" spans="2:2">
      <c r="B167" s="66"/>
    </row>
    <row r="168" spans="2:2">
      <c r="B168" s="66"/>
    </row>
    <row r="169" spans="2:2">
      <c r="B169" s="66"/>
    </row>
    <row r="170" spans="2:2">
      <c r="B170" s="66"/>
    </row>
    <row r="171" spans="2:2">
      <c r="B171" s="66"/>
    </row>
    <row r="172" spans="2:2">
      <c r="B172" s="66"/>
    </row>
    <row r="173" spans="2:2">
      <c r="B173" s="66"/>
    </row>
    <row r="174" spans="2:2">
      <c r="B174" s="66"/>
    </row>
    <row r="175" spans="2:2">
      <c r="B175" s="66"/>
    </row>
    <row r="176" spans="2:2">
      <c r="B176" s="66"/>
    </row>
    <row r="177" spans="2:2">
      <c r="B177" s="66"/>
    </row>
    <row r="178" spans="2:2">
      <c r="B178" s="66"/>
    </row>
    <row r="179" spans="2:2">
      <c r="B179" s="66"/>
    </row>
    <row r="180" spans="2:2">
      <c r="B180" s="66"/>
    </row>
    <row r="181" spans="2:2">
      <c r="B181" s="66"/>
    </row>
    <row r="182" spans="2:2">
      <c r="B182" s="66"/>
    </row>
    <row r="183" spans="2:2">
      <c r="B183" s="66"/>
    </row>
    <row r="184" spans="2:2">
      <c r="B184" s="66"/>
    </row>
    <row r="185" spans="2:2">
      <c r="B185" s="66"/>
    </row>
    <row r="186" spans="2:2">
      <c r="B186" s="66"/>
    </row>
    <row r="187" spans="2:2">
      <c r="B187" s="66"/>
    </row>
    <row r="188" spans="2:2">
      <c r="B188" s="66"/>
    </row>
    <row r="189" spans="2:2">
      <c r="B189" s="66"/>
    </row>
    <row r="190" spans="2:2">
      <c r="B190" s="66"/>
    </row>
    <row r="191" spans="2:2">
      <c r="B191" s="66"/>
    </row>
    <row r="192" spans="2:2">
      <c r="B192" s="66"/>
    </row>
    <row r="193" spans="2:2">
      <c r="B193" s="66"/>
    </row>
    <row r="194" spans="2:2">
      <c r="B194" s="66"/>
    </row>
    <row r="195" spans="2:2">
      <c r="B195" s="66"/>
    </row>
    <row r="196" spans="2:2">
      <c r="B196" s="66"/>
    </row>
    <row r="197" spans="2:2">
      <c r="B197" s="66"/>
    </row>
    <row r="198" spans="2:2">
      <c r="B198" s="66"/>
    </row>
    <row r="199" spans="2:2">
      <c r="B199" s="66"/>
    </row>
    <row r="200" spans="2:2">
      <c r="B200" s="66"/>
    </row>
    <row r="201" spans="2:2">
      <c r="B201" s="66"/>
    </row>
    <row r="202" spans="2:2">
      <c r="B202" s="66"/>
    </row>
    <row r="203" spans="2:2">
      <c r="B203" s="66"/>
    </row>
    <row r="204" spans="2:2">
      <c r="B204" s="66"/>
    </row>
    <row r="205" spans="2:2">
      <c r="B205" s="66"/>
    </row>
    <row r="206" spans="2:2">
      <c r="B206" s="66"/>
    </row>
    <row r="207" spans="2:2">
      <c r="B207" s="66"/>
    </row>
    <row r="208" spans="2:2">
      <c r="B208" s="66"/>
    </row>
    <row r="209" spans="2:2">
      <c r="B209" s="66"/>
    </row>
    <row r="210" spans="2:2">
      <c r="B210" s="66"/>
    </row>
    <row r="211" spans="2:2">
      <c r="B211" s="66"/>
    </row>
    <row r="212" spans="2:2">
      <c r="B212" s="66"/>
    </row>
    <row r="213" spans="2:2">
      <c r="B213" s="66"/>
    </row>
    <row r="214" spans="2:2">
      <c r="B214" s="66"/>
    </row>
    <row r="215" spans="2:2">
      <c r="B215" s="66"/>
    </row>
    <row r="216" spans="2:2">
      <c r="B216" s="66"/>
    </row>
    <row r="217" spans="2:2">
      <c r="B217" s="66"/>
    </row>
    <row r="218" spans="2:2">
      <c r="B218" s="66"/>
    </row>
    <row r="219" spans="2:2">
      <c r="B219" s="66"/>
    </row>
    <row r="220" spans="2:2">
      <c r="B220" s="66"/>
    </row>
    <row r="221" spans="2:2">
      <c r="B221" s="66"/>
    </row>
    <row r="222" spans="2:2">
      <c r="B222" s="66"/>
    </row>
    <row r="223" spans="2:2">
      <c r="B223" s="66"/>
    </row>
    <row r="224" spans="2:2">
      <c r="B224" s="66"/>
    </row>
    <row r="225" spans="2:2">
      <c r="B225" s="66"/>
    </row>
    <row r="226" spans="2:2">
      <c r="B226" s="66"/>
    </row>
    <row r="227" spans="2:2">
      <c r="B227" s="66"/>
    </row>
    <row r="228" spans="2:2">
      <c r="B228" s="66"/>
    </row>
    <row r="229" spans="2:2">
      <c r="B229" s="66"/>
    </row>
    <row r="230" spans="2:2">
      <c r="B230" s="66"/>
    </row>
    <row r="231" spans="2:2">
      <c r="B231" s="66"/>
    </row>
    <row r="232" spans="2:2">
      <c r="B232" s="66"/>
    </row>
    <row r="233" spans="2:2">
      <c r="B233" s="66"/>
    </row>
    <row r="234" spans="2:2">
      <c r="B234" s="66"/>
    </row>
    <row r="235" spans="2:2">
      <c r="B235" s="66"/>
    </row>
    <row r="236" spans="2:2">
      <c r="B236" s="66"/>
    </row>
    <row r="237" spans="2:2">
      <c r="B237" s="66"/>
    </row>
    <row r="238" spans="2:2">
      <c r="B238" s="66"/>
    </row>
    <row r="239" spans="2:2">
      <c r="B239" s="66"/>
    </row>
    <row r="240" spans="2:2">
      <c r="B240" s="66"/>
    </row>
    <row r="241" spans="2:2">
      <c r="B241" s="66"/>
    </row>
    <row r="242" spans="2:2">
      <c r="B242" s="66"/>
    </row>
    <row r="243" spans="2:2">
      <c r="B243" s="66"/>
    </row>
    <row r="244" spans="2:2">
      <c r="B244" s="66"/>
    </row>
    <row r="245" spans="2:2">
      <c r="B245" s="66"/>
    </row>
    <row r="246" spans="2:2">
      <c r="B246" s="66"/>
    </row>
    <row r="247" spans="2:2">
      <c r="B247" s="66"/>
    </row>
    <row r="248" spans="2:2">
      <c r="B248" s="66"/>
    </row>
    <row r="249" spans="2:2">
      <c r="B249" s="66"/>
    </row>
    <row r="250" spans="2:2">
      <c r="B250" s="66"/>
    </row>
    <row r="251" spans="2:2">
      <c r="B251" s="66"/>
    </row>
    <row r="252" spans="2:2">
      <c r="B252" s="66"/>
    </row>
    <row r="253" spans="2:2">
      <c r="B253" s="66"/>
    </row>
    <row r="254" spans="2:2">
      <c r="B254" s="66"/>
    </row>
    <row r="255" spans="2:2">
      <c r="B255" s="66"/>
    </row>
    <row r="256" spans="2:2">
      <c r="B256" s="66"/>
    </row>
    <row r="257" spans="2:2">
      <c r="B257" s="66"/>
    </row>
    <row r="258" spans="2:2">
      <c r="B258" s="66"/>
    </row>
    <row r="259" spans="2:2">
      <c r="B259" s="66"/>
    </row>
    <row r="260" spans="2:2">
      <c r="B260" s="66"/>
    </row>
    <row r="261" spans="2:2">
      <c r="B261" s="66"/>
    </row>
    <row r="262" spans="2:2">
      <c r="B262" s="66"/>
    </row>
    <row r="263" spans="2:2">
      <c r="B263" s="66"/>
    </row>
    <row r="264" spans="2:2">
      <c r="B264" s="66"/>
    </row>
    <row r="265" spans="2:2">
      <c r="B265" s="66"/>
    </row>
    <row r="266" spans="2:2">
      <c r="B266" s="66"/>
    </row>
    <row r="267" spans="2:2">
      <c r="B267" s="66"/>
    </row>
    <row r="268" spans="2:2">
      <c r="B268" s="66"/>
    </row>
    <row r="269" spans="2:2">
      <c r="B269" s="66"/>
    </row>
    <row r="270" spans="2:2">
      <c r="B270" s="66"/>
    </row>
    <row r="271" spans="2:2">
      <c r="B271" s="66"/>
    </row>
    <row r="272" spans="2:2">
      <c r="B272" s="66"/>
    </row>
    <row r="273" spans="2:2">
      <c r="B273" s="66"/>
    </row>
    <row r="274" spans="2:2">
      <c r="B274" s="66"/>
    </row>
    <row r="275" spans="2:2">
      <c r="B275" s="66"/>
    </row>
    <row r="276" spans="2:2">
      <c r="B276" s="66"/>
    </row>
    <row r="277" spans="2:2">
      <c r="B277" s="66"/>
    </row>
    <row r="278" spans="2:2">
      <c r="B278" s="66"/>
    </row>
    <row r="279" spans="2:2">
      <c r="B279" s="66"/>
    </row>
    <row r="280" spans="2:2">
      <c r="B280" s="66"/>
    </row>
    <row r="281" spans="2:2">
      <c r="B281" s="66"/>
    </row>
    <row r="282" spans="2:2">
      <c r="B282" s="66"/>
    </row>
    <row r="283" spans="2:2">
      <c r="B283" s="66"/>
    </row>
    <row r="284" spans="2:2">
      <c r="B284" s="66"/>
    </row>
    <row r="285" spans="2:2">
      <c r="B285" s="66"/>
    </row>
    <row r="286" spans="2:2">
      <c r="B286" s="66"/>
    </row>
    <row r="287" spans="2:2">
      <c r="B287" s="66"/>
    </row>
    <row r="288" spans="2:2">
      <c r="B288" s="66"/>
    </row>
    <row r="289" spans="2:2">
      <c r="B289" s="66"/>
    </row>
    <row r="290" spans="2:2">
      <c r="B290" s="66"/>
    </row>
    <row r="291" spans="2:2">
      <c r="B291" s="66"/>
    </row>
    <row r="292" spans="2:2">
      <c r="B292" s="66"/>
    </row>
    <row r="293" spans="2:2">
      <c r="B293" s="66"/>
    </row>
    <row r="294" spans="2:2">
      <c r="B294" s="66"/>
    </row>
    <row r="295" spans="2:2">
      <c r="B295" s="66"/>
    </row>
    <row r="296" spans="2:2">
      <c r="B296" s="66"/>
    </row>
    <row r="297" spans="2:2">
      <c r="B297" s="66"/>
    </row>
    <row r="298" spans="2:2">
      <c r="B298" s="66"/>
    </row>
    <row r="299" spans="2:2">
      <c r="B299" s="66"/>
    </row>
    <row r="300" spans="2:2">
      <c r="B300" s="66"/>
    </row>
    <row r="301" spans="2:2">
      <c r="B301" s="66"/>
    </row>
    <row r="302" spans="2:2">
      <c r="B302" s="66"/>
    </row>
    <row r="303" spans="2:2">
      <c r="B303" s="66"/>
    </row>
    <row r="304" spans="2:2">
      <c r="B304" s="66"/>
    </row>
    <row r="305" spans="2:2">
      <c r="B305" s="66"/>
    </row>
    <row r="306" spans="2:2">
      <c r="B306" s="66"/>
    </row>
    <row r="307" spans="2:2">
      <c r="B307" s="66"/>
    </row>
    <row r="308" spans="2:2">
      <c r="B308" s="66"/>
    </row>
    <row r="309" spans="2:2">
      <c r="B309" s="66"/>
    </row>
    <row r="310" spans="2:2">
      <c r="B310" s="66"/>
    </row>
    <row r="311" spans="2:2">
      <c r="B311" s="66"/>
    </row>
    <row r="312" spans="2:2">
      <c r="B312" s="66"/>
    </row>
    <row r="313" spans="2:2">
      <c r="B313" s="66"/>
    </row>
    <row r="314" spans="2:2">
      <c r="B314" s="66"/>
    </row>
    <row r="315" spans="2:2">
      <c r="B315" s="66"/>
    </row>
    <row r="316" spans="2:2">
      <c r="B316" s="66"/>
    </row>
    <row r="317" spans="2:2">
      <c r="B317" s="66"/>
    </row>
    <row r="318" spans="2:2">
      <c r="B318" s="66"/>
    </row>
    <row r="319" spans="2:2">
      <c r="B319" s="66"/>
    </row>
    <row r="320" spans="2:2">
      <c r="B320" s="66"/>
    </row>
    <row r="321" spans="2:2">
      <c r="B321" s="66"/>
    </row>
    <row r="322" spans="2:2">
      <c r="B322" s="66"/>
    </row>
    <row r="323" spans="2:2">
      <c r="B323" s="66"/>
    </row>
    <row r="324" spans="2:2">
      <c r="B324" s="66"/>
    </row>
    <row r="325" spans="2:2">
      <c r="B325" s="66"/>
    </row>
    <row r="326" spans="2:2">
      <c r="B326" s="66"/>
    </row>
    <row r="327" spans="2:2">
      <c r="B327" s="66"/>
    </row>
    <row r="328" spans="2:2">
      <c r="B328" s="66"/>
    </row>
    <row r="329" spans="2:2">
      <c r="B329" s="66"/>
    </row>
    <row r="330" spans="2:2">
      <c r="B330" s="66"/>
    </row>
    <row r="331" spans="2:2">
      <c r="B331" s="66"/>
    </row>
    <row r="332" spans="2:2">
      <c r="B332" s="66"/>
    </row>
    <row r="333" spans="2:2">
      <c r="B333" s="66"/>
    </row>
    <row r="334" spans="2:2">
      <c r="B334" s="66"/>
    </row>
    <row r="335" spans="2:2">
      <c r="B335" s="66"/>
    </row>
    <row r="336" spans="2:2">
      <c r="B336" s="66"/>
    </row>
    <row r="337" spans="2:2">
      <c r="B337" s="66"/>
    </row>
    <row r="338" spans="2:2">
      <c r="B338" s="66"/>
    </row>
    <row r="339" spans="2:2">
      <c r="B339" s="66"/>
    </row>
    <row r="340" spans="2:2">
      <c r="B340" s="66"/>
    </row>
    <row r="341" spans="2:2">
      <c r="B341" s="66"/>
    </row>
    <row r="342" spans="2:2">
      <c r="B342" s="66"/>
    </row>
    <row r="343" spans="2:2">
      <c r="B343" s="66"/>
    </row>
    <row r="344" spans="2:2">
      <c r="B344" s="66"/>
    </row>
    <row r="345" spans="2:2">
      <c r="B345" s="66"/>
    </row>
    <row r="346" spans="2:2">
      <c r="B346" s="66"/>
    </row>
    <row r="347" spans="2:2">
      <c r="B347" s="66"/>
    </row>
    <row r="348" spans="2:2">
      <c r="B348" s="66"/>
    </row>
    <row r="349" spans="2:2">
      <c r="B349" s="66"/>
    </row>
    <row r="350" spans="2:2">
      <c r="B350" s="66"/>
    </row>
    <row r="351" spans="2:2">
      <c r="B351" s="66"/>
    </row>
    <row r="352" spans="2:2">
      <c r="B352" s="66"/>
    </row>
    <row r="353" spans="2:2">
      <c r="B353" s="66"/>
    </row>
    <row r="354" spans="2:2">
      <c r="B354" s="66"/>
    </row>
    <row r="355" spans="2:2">
      <c r="B355" s="66"/>
    </row>
    <row r="356" spans="2:2">
      <c r="B356" s="66"/>
    </row>
    <row r="357" spans="2:2">
      <c r="B357" s="66"/>
    </row>
    <row r="358" spans="2:2">
      <c r="B358" s="66"/>
    </row>
    <row r="359" spans="2:2">
      <c r="B359" s="66"/>
    </row>
    <row r="360" spans="2:2">
      <c r="B360" s="66"/>
    </row>
    <row r="361" spans="2:2">
      <c r="B361" s="66"/>
    </row>
    <row r="362" spans="2:2">
      <c r="B362" s="66"/>
    </row>
    <row r="363" spans="2:2">
      <c r="B363" s="66"/>
    </row>
    <row r="364" spans="2:2">
      <c r="B364" s="66"/>
    </row>
    <row r="365" spans="2:2">
      <c r="B365" s="66"/>
    </row>
    <row r="366" spans="2:2">
      <c r="B366" s="66"/>
    </row>
    <row r="367" spans="2:2">
      <c r="B367" s="66"/>
    </row>
    <row r="368" spans="2:2">
      <c r="B368" s="66"/>
    </row>
    <row r="369" spans="2:2">
      <c r="B369" s="66"/>
    </row>
    <row r="370" spans="2:2">
      <c r="B370" s="66"/>
    </row>
    <row r="371" spans="2:2">
      <c r="B371" s="66"/>
    </row>
    <row r="372" spans="2:2">
      <c r="B372" s="66"/>
    </row>
    <row r="373" spans="2:2">
      <c r="B373" s="66"/>
    </row>
    <row r="374" spans="2:2">
      <c r="B374" s="66"/>
    </row>
    <row r="375" spans="2:2">
      <c r="B375" s="66"/>
    </row>
    <row r="376" spans="2:2">
      <c r="B376" s="66"/>
    </row>
    <row r="377" spans="2:2">
      <c r="B377" s="66"/>
    </row>
    <row r="378" spans="2:2">
      <c r="B378" s="66"/>
    </row>
    <row r="379" spans="2:2">
      <c r="B379" s="66"/>
    </row>
    <row r="380" spans="2:2">
      <c r="B380" s="66"/>
    </row>
    <row r="381" spans="2:2">
      <c r="B381" s="66"/>
    </row>
    <row r="382" spans="2:2">
      <c r="B382" s="66"/>
    </row>
    <row r="383" spans="2:2">
      <c r="B383" s="66"/>
    </row>
    <row r="384" spans="2:2">
      <c r="B384" s="66"/>
    </row>
    <row r="385" spans="2:2">
      <c r="B385" s="66"/>
    </row>
    <row r="386" spans="2:2">
      <c r="B386" s="66"/>
    </row>
    <row r="387" spans="2:2">
      <c r="B387" s="66"/>
    </row>
    <row r="388" spans="2:2">
      <c r="B388" s="66"/>
    </row>
    <row r="389" spans="2:2">
      <c r="B389" s="66"/>
    </row>
    <row r="390" spans="2:2">
      <c r="B390" s="66"/>
    </row>
    <row r="391" spans="2:2">
      <c r="B391" s="66"/>
    </row>
    <row r="392" spans="2:2">
      <c r="B392" s="66"/>
    </row>
    <row r="393" spans="2:2">
      <c r="B393" s="66"/>
    </row>
    <row r="394" spans="2:2">
      <c r="B394" s="66"/>
    </row>
    <row r="395" spans="2:2">
      <c r="B395" s="66"/>
    </row>
    <row r="396" spans="2:2">
      <c r="B396" s="66"/>
    </row>
    <row r="397" spans="2:2">
      <c r="B397" s="66"/>
    </row>
    <row r="398" spans="2:2">
      <c r="B398" s="66"/>
    </row>
    <row r="399" spans="2:2">
      <c r="B399" s="66"/>
    </row>
    <row r="400" spans="2:2">
      <c r="B400" s="66"/>
    </row>
    <row r="401" spans="2:2">
      <c r="B401" s="66"/>
    </row>
    <row r="402" spans="2:2">
      <c r="B402" s="66"/>
    </row>
    <row r="403" spans="2:2">
      <c r="B403" s="66"/>
    </row>
    <row r="404" spans="2:2">
      <c r="B404" s="66"/>
    </row>
    <row r="405" spans="2:2">
      <c r="B405" s="66"/>
    </row>
    <row r="406" spans="2:2">
      <c r="B406" s="66"/>
    </row>
    <row r="407" spans="2:2">
      <c r="B407" s="66"/>
    </row>
    <row r="408" spans="2:2">
      <c r="B408" s="66"/>
    </row>
    <row r="409" spans="2:2">
      <c r="B409" s="66"/>
    </row>
    <row r="410" spans="2:2">
      <c r="B410" s="66"/>
    </row>
    <row r="411" spans="2:2">
      <c r="B411" s="66"/>
    </row>
    <row r="412" spans="2:2">
      <c r="B412" s="66"/>
    </row>
    <row r="413" spans="2:2">
      <c r="B413" s="66"/>
    </row>
    <row r="414" spans="2:2">
      <c r="B414" s="66"/>
    </row>
    <row r="415" spans="2:2">
      <c r="B415" s="66"/>
    </row>
    <row r="416" spans="2:2">
      <c r="B416" s="66"/>
    </row>
    <row r="417" spans="2:2">
      <c r="B417" s="66"/>
    </row>
    <row r="418" spans="2:2">
      <c r="B418" s="66"/>
    </row>
    <row r="419" spans="2:2">
      <c r="B419" s="66"/>
    </row>
    <row r="420" spans="2:2">
      <c r="B420" s="66"/>
    </row>
    <row r="421" spans="2:2">
      <c r="B421" s="66"/>
    </row>
    <row r="422" spans="2:2">
      <c r="B422" s="66"/>
    </row>
    <row r="423" spans="2:2">
      <c r="B423" s="66"/>
    </row>
    <row r="424" spans="2:2">
      <c r="B424" s="66"/>
    </row>
    <row r="425" spans="2:2">
      <c r="B425" s="66"/>
    </row>
    <row r="426" spans="2:2">
      <c r="B426" s="66"/>
    </row>
    <row r="427" spans="2:2">
      <c r="B427" s="66"/>
    </row>
    <row r="428" spans="2:2">
      <c r="B428" s="66"/>
    </row>
    <row r="429" spans="2:2">
      <c r="B429" s="66"/>
    </row>
    <row r="430" spans="2:2">
      <c r="B430" s="66"/>
    </row>
    <row r="431" spans="2:2">
      <c r="B431" s="66"/>
    </row>
    <row r="432" spans="2:2">
      <c r="B432" s="66"/>
    </row>
    <row r="433" spans="2:2">
      <c r="B433" s="66"/>
    </row>
    <row r="434" spans="2:2">
      <c r="B434" s="66"/>
    </row>
    <row r="435" spans="2:2">
      <c r="B435" s="66"/>
    </row>
    <row r="436" spans="2:2">
      <c r="B436" s="66"/>
    </row>
    <row r="437" spans="2:2">
      <c r="B437" s="66"/>
    </row>
    <row r="438" spans="2:2">
      <c r="B438" s="66"/>
    </row>
    <row r="439" spans="2:2">
      <c r="B439" s="66"/>
    </row>
    <row r="440" spans="2:2">
      <c r="B440" s="66"/>
    </row>
    <row r="441" spans="2:2">
      <c r="B441" s="66"/>
    </row>
    <row r="442" spans="2:2">
      <c r="B442" s="66"/>
    </row>
    <row r="443" spans="2:2">
      <c r="B443" s="66"/>
    </row>
    <row r="444" spans="2:2">
      <c r="B444" s="66"/>
    </row>
    <row r="445" spans="2:2">
      <c r="B445" s="66"/>
    </row>
    <row r="446" spans="2:2">
      <c r="B446" s="66"/>
    </row>
    <row r="447" spans="2:2">
      <c r="B447" s="66"/>
    </row>
    <row r="448" spans="2:2">
      <c r="B448" s="66"/>
    </row>
    <row r="449" spans="2:2">
      <c r="B449" s="66"/>
    </row>
    <row r="450" spans="2:2">
      <c r="B450" s="66"/>
    </row>
    <row r="451" spans="2:2">
      <c r="B451" s="66"/>
    </row>
    <row r="452" spans="2:2">
      <c r="B452" s="66"/>
    </row>
    <row r="453" spans="2:2">
      <c r="B453" s="66"/>
    </row>
    <row r="454" spans="2:2">
      <c r="B454" s="66"/>
    </row>
    <row r="455" spans="2:2">
      <c r="B455" s="66"/>
    </row>
    <row r="456" spans="2:2">
      <c r="B456" s="66"/>
    </row>
    <row r="457" spans="2:2">
      <c r="B457" s="66"/>
    </row>
    <row r="458" spans="2:2">
      <c r="B458" s="66"/>
    </row>
    <row r="459" spans="2:2">
      <c r="B459" s="66"/>
    </row>
    <row r="460" spans="2:2">
      <c r="B460" s="66"/>
    </row>
    <row r="461" spans="2:2">
      <c r="B461" s="66"/>
    </row>
    <row r="462" spans="2:2">
      <c r="B462" s="66"/>
    </row>
    <row r="463" spans="2:2">
      <c r="B463" s="66"/>
    </row>
    <row r="464" spans="2:2">
      <c r="B464" s="66"/>
    </row>
    <row r="465" spans="2:2">
      <c r="B465" s="66"/>
    </row>
    <row r="466" spans="2:2">
      <c r="B466" s="66"/>
    </row>
    <row r="467" spans="2:2">
      <c r="B467" s="66"/>
    </row>
    <row r="468" spans="2:2">
      <c r="B468" s="66"/>
    </row>
    <row r="469" spans="2:2">
      <c r="B469" s="66"/>
    </row>
    <row r="470" spans="2:2">
      <c r="B470" s="66"/>
    </row>
    <row r="471" spans="2:2">
      <c r="B471" s="66"/>
    </row>
    <row r="472" spans="2:2">
      <c r="B472" s="66"/>
    </row>
    <row r="473" spans="2:2">
      <c r="B473" s="66"/>
    </row>
    <row r="474" spans="2:2">
      <c r="B474" s="66"/>
    </row>
    <row r="475" spans="2:2">
      <c r="B475" s="66"/>
    </row>
    <row r="476" spans="2:2">
      <c r="B476" s="66"/>
    </row>
    <row r="477" spans="2:2">
      <c r="B477" s="66"/>
    </row>
    <row r="478" spans="2:2">
      <c r="B478" s="66"/>
    </row>
    <row r="479" spans="2:2">
      <c r="B479" s="66"/>
    </row>
    <row r="480" spans="2:2">
      <c r="B480" s="66"/>
    </row>
    <row r="481" spans="2:2">
      <c r="B481" s="66"/>
    </row>
    <row r="482" spans="2:2">
      <c r="B482" s="66"/>
    </row>
    <row r="483" spans="2:2">
      <c r="B483" s="66"/>
    </row>
    <row r="484" spans="2:2">
      <c r="B484" s="66"/>
    </row>
    <row r="485" spans="2:2">
      <c r="B485" s="66"/>
    </row>
    <row r="486" spans="2:2">
      <c r="B486" s="66"/>
    </row>
    <row r="487" spans="2:2">
      <c r="B487" s="66"/>
    </row>
    <row r="488" spans="2:2">
      <c r="B488" s="66"/>
    </row>
    <row r="489" spans="2:2">
      <c r="B489" s="66"/>
    </row>
    <row r="490" spans="2:2">
      <c r="B490" s="66"/>
    </row>
    <row r="491" spans="2:2">
      <c r="B491" s="66"/>
    </row>
    <row r="492" spans="2:2">
      <c r="B492" s="66"/>
    </row>
    <row r="493" spans="2:2">
      <c r="B493" s="66"/>
    </row>
    <row r="494" spans="2:2">
      <c r="B494" s="66"/>
    </row>
    <row r="495" spans="2:2">
      <c r="B495" s="66"/>
    </row>
    <row r="496" spans="2:2">
      <c r="B496" s="66"/>
    </row>
    <row r="497" spans="2:2">
      <c r="B497" s="66"/>
    </row>
    <row r="498" spans="2:2">
      <c r="B498" s="66"/>
    </row>
    <row r="499" spans="2:2">
      <c r="B499" s="66"/>
    </row>
    <row r="500" spans="2:2">
      <c r="B500" s="66"/>
    </row>
    <row r="501" spans="2:2">
      <c r="B501" s="66"/>
    </row>
    <row r="502" spans="2:2">
      <c r="B502" s="66"/>
    </row>
    <row r="503" spans="2:2">
      <c r="B503" s="66"/>
    </row>
    <row r="504" spans="2:2">
      <c r="B504" s="66"/>
    </row>
    <row r="505" spans="2:2">
      <c r="B505" s="66"/>
    </row>
    <row r="506" spans="2:2">
      <c r="B506" s="66"/>
    </row>
    <row r="507" spans="2:2">
      <c r="B507" s="66"/>
    </row>
    <row r="508" spans="2:2">
      <c r="B508" s="66"/>
    </row>
    <row r="509" spans="2:2">
      <c r="B509" s="66"/>
    </row>
    <row r="510" spans="2:2">
      <c r="B510" s="66"/>
    </row>
    <row r="511" spans="2:2">
      <c r="B511" s="66"/>
    </row>
    <row r="512" spans="2:2">
      <c r="B512" s="66"/>
    </row>
    <row r="513" spans="2:2">
      <c r="B513" s="66"/>
    </row>
    <row r="514" spans="2:2">
      <c r="B514" s="66"/>
    </row>
    <row r="515" spans="2:2">
      <c r="B515" s="66"/>
    </row>
    <row r="516" spans="2:2">
      <c r="B516" s="66"/>
    </row>
    <row r="517" spans="2:2">
      <c r="B517" s="66"/>
    </row>
    <row r="518" spans="2:2">
      <c r="B518" s="66"/>
    </row>
    <row r="519" spans="2:2">
      <c r="B519" s="66"/>
    </row>
    <row r="520" spans="2:2">
      <c r="B520" s="66"/>
    </row>
    <row r="521" spans="2:2">
      <c r="B521" s="66"/>
    </row>
    <row r="522" spans="2:2">
      <c r="B522" s="66"/>
    </row>
    <row r="523" spans="2:2">
      <c r="B523" s="66"/>
    </row>
    <row r="524" spans="2:2">
      <c r="B524" s="66"/>
    </row>
    <row r="525" spans="2:2">
      <c r="B525" s="66"/>
    </row>
    <row r="526" spans="2:2">
      <c r="B526" s="66"/>
    </row>
    <row r="527" spans="2:2">
      <c r="B527" s="66"/>
    </row>
    <row r="528" spans="2:2">
      <c r="B528" s="66"/>
    </row>
    <row r="529" spans="2:2">
      <c r="B529" s="66"/>
    </row>
    <row r="530" spans="2:2">
      <c r="B530" s="66"/>
    </row>
    <row r="531" spans="2:2">
      <c r="B531" s="66"/>
    </row>
    <row r="532" spans="2:2">
      <c r="B532" s="66"/>
    </row>
    <row r="533" spans="2:2">
      <c r="B533" s="66"/>
    </row>
    <row r="534" spans="2:2">
      <c r="B534" s="66"/>
    </row>
    <row r="535" spans="2:2">
      <c r="B535" s="66"/>
    </row>
    <row r="536" spans="2:2">
      <c r="B536" s="66"/>
    </row>
    <row r="537" spans="2:2">
      <c r="B537" s="66"/>
    </row>
    <row r="538" spans="2:2">
      <c r="B538" s="66"/>
    </row>
    <row r="539" spans="2:2">
      <c r="B539" s="66"/>
    </row>
    <row r="540" spans="2:2">
      <c r="B540" s="66"/>
    </row>
    <row r="541" spans="2:2">
      <c r="B541" s="66"/>
    </row>
    <row r="542" spans="2:2">
      <c r="B542" s="66"/>
    </row>
    <row r="543" spans="2:2">
      <c r="B543" s="66"/>
    </row>
    <row r="544" spans="2:2">
      <c r="B544" s="66"/>
    </row>
    <row r="545" spans="2:2">
      <c r="B545" s="66"/>
    </row>
    <row r="546" spans="2:2">
      <c r="B546" s="66"/>
    </row>
    <row r="547" spans="2:2">
      <c r="B547" s="66"/>
    </row>
    <row r="548" spans="2:2">
      <c r="B548" s="66"/>
    </row>
    <row r="549" spans="2:2">
      <c r="B549" s="66"/>
    </row>
    <row r="550" spans="2:2">
      <c r="B550" s="66"/>
    </row>
    <row r="551" spans="2:2">
      <c r="B551" s="66"/>
    </row>
    <row r="552" spans="2:2">
      <c r="B552" s="66"/>
    </row>
    <row r="553" spans="2:2">
      <c r="B553" s="66"/>
    </row>
    <row r="554" spans="2:2">
      <c r="B554" s="66"/>
    </row>
    <row r="555" spans="2:2">
      <c r="B555" s="66"/>
    </row>
    <row r="556" spans="2:2">
      <c r="B556" s="66"/>
    </row>
    <row r="557" spans="2:2">
      <c r="B557" s="66"/>
    </row>
    <row r="558" spans="2:2">
      <c r="B558" s="66"/>
    </row>
    <row r="559" spans="2:2">
      <c r="B559" s="66"/>
    </row>
    <row r="560" spans="2:2">
      <c r="B560" s="66"/>
    </row>
    <row r="561" spans="2:2">
      <c r="B561" s="66"/>
    </row>
    <row r="562" spans="2:2">
      <c r="B562" s="66"/>
    </row>
    <row r="563" spans="2:2">
      <c r="B563" s="66"/>
    </row>
    <row r="564" spans="2:2">
      <c r="B564" s="66"/>
    </row>
    <row r="565" spans="2:2">
      <c r="B565" s="66"/>
    </row>
    <row r="566" spans="2:2">
      <c r="B566" s="66"/>
    </row>
    <row r="567" spans="2:2">
      <c r="B567" s="66"/>
    </row>
    <row r="568" spans="2:2">
      <c r="B568" s="66"/>
    </row>
    <row r="569" spans="2:2">
      <c r="B569" s="66"/>
    </row>
    <row r="570" spans="2:2">
      <c r="B570" s="66"/>
    </row>
    <row r="571" spans="2:2">
      <c r="B571" s="66"/>
    </row>
    <row r="572" spans="2:2">
      <c r="B572" s="66"/>
    </row>
    <row r="573" spans="2:2">
      <c r="B573" s="66"/>
    </row>
    <row r="574" spans="2:2">
      <c r="B574" s="66"/>
    </row>
    <row r="575" spans="2:2">
      <c r="B575" s="66"/>
    </row>
    <row r="576" spans="2:2">
      <c r="B576" s="66"/>
    </row>
    <row r="577" spans="2:2">
      <c r="B577" s="66"/>
    </row>
    <row r="578" spans="2:2">
      <c r="B578" s="66"/>
    </row>
    <row r="579" spans="2:2">
      <c r="B579" s="66"/>
    </row>
    <row r="580" spans="2:2">
      <c r="B580" s="66"/>
    </row>
    <row r="581" spans="2:2">
      <c r="B581" s="66"/>
    </row>
    <row r="582" spans="2:2">
      <c r="B582" s="66"/>
    </row>
    <row r="583" spans="2:2">
      <c r="B583" s="66"/>
    </row>
    <row r="584" spans="2:2">
      <c r="B584" s="66"/>
    </row>
    <row r="585" spans="2:2">
      <c r="B585" s="66"/>
    </row>
    <row r="586" spans="2:2">
      <c r="B586" s="66"/>
    </row>
    <row r="587" spans="2:2">
      <c r="B587" s="66"/>
    </row>
    <row r="588" spans="2:2">
      <c r="B588" s="66"/>
    </row>
    <row r="589" spans="2:2">
      <c r="B589" s="66"/>
    </row>
    <row r="590" spans="2:2">
      <c r="B590" s="66"/>
    </row>
    <row r="591" spans="2:2">
      <c r="B591" s="66"/>
    </row>
    <row r="592" spans="2:2">
      <c r="B592" s="66"/>
    </row>
    <row r="593" spans="2:2">
      <c r="B593" s="66"/>
    </row>
    <row r="594" spans="2:2">
      <c r="B594" s="66"/>
    </row>
    <row r="595" spans="2:2">
      <c r="B595" s="66"/>
    </row>
    <row r="596" spans="2:2">
      <c r="B596" s="66"/>
    </row>
    <row r="597" spans="2:2">
      <c r="B597" s="66"/>
    </row>
    <row r="598" spans="2:2">
      <c r="B598" s="66"/>
    </row>
    <row r="599" spans="2:2">
      <c r="B599" s="66"/>
    </row>
    <row r="600" spans="2:2">
      <c r="B600" s="66"/>
    </row>
    <row r="601" spans="2:2">
      <c r="B601" s="66"/>
    </row>
    <row r="602" spans="2:2">
      <c r="B602" s="66"/>
    </row>
    <row r="603" spans="2:2">
      <c r="B603" s="66"/>
    </row>
    <row r="604" spans="2:2">
      <c r="B604" s="66"/>
    </row>
    <row r="605" spans="2:2">
      <c r="B605" s="66"/>
    </row>
    <row r="606" spans="2:2">
      <c r="B606" s="66"/>
    </row>
    <row r="607" spans="2:2">
      <c r="B607" s="66"/>
    </row>
    <row r="608" spans="2:2">
      <c r="B608" s="66"/>
    </row>
    <row r="609" spans="2:2">
      <c r="B609" s="66"/>
    </row>
    <row r="610" spans="2:2">
      <c r="B610" s="66"/>
    </row>
    <row r="611" spans="2:2">
      <c r="B611" s="66"/>
    </row>
    <row r="612" spans="2:2">
      <c r="B612" s="66"/>
    </row>
    <row r="613" spans="2:2">
      <c r="B613" s="66"/>
    </row>
    <row r="614" spans="2:2">
      <c r="B614" s="66"/>
    </row>
    <row r="615" spans="2:2">
      <c r="B615" s="66"/>
    </row>
    <row r="616" spans="2:2">
      <c r="B616" s="66"/>
    </row>
    <row r="617" spans="2:2">
      <c r="B617" s="66"/>
    </row>
    <row r="618" spans="2:2">
      <c r="B618" s="66"/>
    </row>
    <row r="619" spans="2:2">
      <c r="B619" s="66"/>
    </row>
    <row r="620" spans="2:2">
      <c r="B620" s="66"/>
    </row>
    <row r="621" spans="2:2">
      <c r="B621" s="66"/>
    </row>
    <row r="622" spans="2:2">
      <c r="B622" s="66"/>
    </row>
    <row r="623" spans="2:2">
      <c r="B623" s="66"/>
    </row>
    <row r="624" spans="2:2">
      <c r="B624" s="66"/>
    </row>
    <row r="625" spans="2:2">
      <c r="B625" s="66"/>
    </row>
    <row r="626" spans="2:2">
      <c r="B626" s="66"/>
    </row>
    <row r="627" spans="2:2">
      <c r="B627" s="66"/>
    </row>
    <row r="628" spans="2:2">
      <c r="B628" s="66"/>
    </row>
    <row r="629" spans="2:2">
      <c r="B629" s="66"/>
    </row>
    <row r="630" spans="2:2">
      <c r="B630" s="66"/>
    </row>
    <row r="631" spans="2:2">
      <c r="B631" s="66"/>
    </row>
    <row r="632" spans="2:2">
      <c r="B632" s="66"/>
    </row>
    <row r="633" spans="2:2">
      <c r="B633" s="66"/>
    </row>
    <row r="634" spans="2:2">
      <c r="B634" s="66"/>
    </row>
    <row r="635" spans="2:2">
      <c r="B635" s="66"/>
    </row>
    <row r="636" spans="2:2">
      <c r="B636" s="66"/>
    </row>
    <row r="637" spans="2:2">
      <c r="B637" s="66"/>
    </row>
    <row r="638" spans="2:2">
      <c r="B638" s="66"/>
    </row>
    <row r="639" spans="2:2">
      <c r="B639" s="66"/>
    </row>
    <row r="640" spans="2:2">
      <c r="B640" s="66"/>
    </row>
    <row r="641" spans="2:2">
      <c r="B641" s="66"/>
    </row>
    <row r="642" spans="2:2">
      <c r="B642" s="66"/>
    </row>
    <row r="643" spans="2:2">
      <c r="B643" s="66"/>
    </row>
    <row r="644" spans="2:2">
      <c r="B644" s="66"/>
    </row>
    <row r="645" spans="2:2">
      <c r="B645" s="66"/>
    </row>
    <row r="646" spans="2:2">
      <c r="B646" s="66"/>
    </row>
    <row r="647" spans="2:2">
      <c r="B647" s="66"/>
    </row>
    <row r="648" spans="2:2">
      <c r="B648" s="66"/>
    </row>
    <row r="649" spans="2:2">
      <c r="B649" s="66"/>
    </row>
    <row r="650" spans="2:2">
      <c r="B650" s="66"/>
    </row>
    <row r="651" spans="2:2">
      <c r="B651" s="66"/>
    </row>
    <row r="652" spans="2:2">
      <c r="B652" s="66"/>
    </row>
    <row r="653" spans="2:2">
      <c r="B653" s="66"/>
    </row>
    <row r="654" spans="2:2">
      <c r="B654" s="66"/>
    </row>
    <row r="655" spans="2:2">
      <c r="B655" s="66"/>
    </row>
    <row r="656" spans="2:2">
      <c r="B656" s="66"/>
    </row>
    <row r="657" spans="2:2">
      <c r="B657" s="66"/>
    </row>
    <row r="658" spans="2:2">
      <c r="B658" s="66"/>
    </row>
    <row r="659" spans="2:2">
      <c r="B659" s="66"/>
    </row>
    <row r="660" spans="2:2">
      <c r="B660" s="66"/>
    </row>
    <row r="661" spans="2:2">
      <c r="B661" s="66"/>
    </row>
    <row r="662" spans="2:2">
      <c r="B662" s="66"/>
    </row>
    <row r="663" spans="2:2">
      <c r="B663" s="66"/>
    </row>
    <row r="664" spans="2:2">
      <c r="B664" s="66"/>
    </row>
    <row r="665" spans="2:2">
      <c r="B665" s="66"/>
    </row>
    <row r="666" spans="2:2">
      <c r="B666" s="66"/>
    </row>
    <row r="667" spans="2:2">
      <c r="B667" s="66"/>
    </row>
    <row r="668" spans="2:2">
      <c r="B668" s="66"/>
    </row>
    <row r="669" spans="2:2">
      <c r="B669" s="66"/>
    </row>
    <row r="670" spans="2:2">
      <c r="B670" s="66"/>
    </row>
    <row r="671" spans="2:2">
      <c r="B671" s="66"/>
    </row>
    <row r="672" spans="2:2">
      <c r="B672" s="66"/>
    </row>
    <row r="673" spans="2:2">
      <c r="B673" s="66"/>
    </row>
    <row r="674" spans="2:2">
      <c r="B674" s="66"/>
    </row>
    <row r="675" spans="2:2">
      <c r="B675" s="66"/>
    </row>
    <row r="676" spans="2:2">
      <c r="B676" s="66"/>
    </row>
    <row r="677" spans="2:2">
      <c r="B677" s="66"/>
    </row>
    <row r="678" spans="2:2">
      <c r="B678" s="66"/>
    </row>
    <row r="679" spans="2:2">
      <c r="B679" s="66"/>
    </row>
    <row r="680" spans="2:2">
      <c r="B680" s="66"/>
    </row>
    <row r="681" spans="2:2">
      <c r="B681" s="66"/>
    </row>
    <row r="682" spans="2:2">
      <c r="B682" s="66"/>
    </row>
    <row r="683" spans="2:2">
      <c r="B683" s="66"/>
    </row>
    <row r="684" spans="2:2">
      <c r="B684" s="66"/>
    </row>
    <row r="685" spans="2:2">
      <c r="B685" s="66"/>
    </row>
    <row r="686" spans="2:2">
      <c r="B686" s="66"/>
    </row>
    <row r="687" spans="2:2">
      <c r="B687" s="66"/>
    </row>
    <row r="688" spans="2:2">
      <c r="B688" s="66"/>
    </row>
    <row r="689" spans="2:2">
      <c r="B689" s="66"/>
    </row>
    <row r="690" spans="2:2">
      <c r="B690" s="66"/>
    </row>
    <row r="691" spans="2:2">
      <c r="B691" s="66"/>
    </row>
    <row r="692" spans="2:2">
      <c r="B692" s="66"/>
    </row>
    <row r="693" spans="2:2">
      <c r="B693" s="66"/>
    </row>
    <row r="694" spans="2:2">
      <c r="B694" s="66"/>
    </row>
    <row r="695" spans="2:2">
      <c r="B695" s="66"/>
    </row>
    <row r="696" spans="2:2">
      <c r="B696" s="66"/>
    </row>
    <row r="697" spans="2:2">
      <c r="B697" s="66"/>
    </row>
    <row r="698" spans="2:2">
      <c r="B698" s="66"/>
    </row>
    <row r="699" spans="2:2">
      <c r="B699" s="66"/>
    </row>
    <row r="700" spans="2:2">
      <c r="B700" s="66"/>
    </row>
    <row r="701" spans="2:2">
      <c r="B701" s="66"/>
    </row>
    <row r="702" spans="2:2">
      <c r="B702" s="66"/>
    </row>
    <row r="703" spans="2:2">
      <c r="B703" s="66"/>
    </row>
    <row r="704" spans="2:2">
      <c r="B704" s="66"/>
    </row>
    <row r="705" spans="2:2">
      <c r="B705" s="66"/>
    </row>
    <row r="706" spans="2:2">
      <c r="B706" s="66"/>
    </row>
    <row r="707" spans="2:2">
      <c r="B707" s="66"/>
    </row>
    <row r="708" spans="2:2">
      <c r="B708" s="66"/>
    </row>
    <row r="709" spans="2:2">
      <c r="B709" s="66"/>
    </row>
    <row r="710" spans="2:2">
      <c r="B710" s="66"/>
    </row>
    <row r="711" spans="2:2">
      <c r="B711" s="66"/>
    </row>
    <row r="712" spans="2:2">
      <c r="B712" s="66"/>
    </row>
    <row r="713" spans="2:2">
      <c r="B713" s="66"/>
    </row>
    <row r="714" spans="2:2">
      <c r="B714" s="66"/>
    </row>
    <row r="715" spans="2:2">
      <c r="B715" s="66"/>
    </row>
    <row r="716" spans="2:2">
      <c r="B716" s="66"/>
    </row>
    <row r="717" spans="2:2">
      <c r="B717" s="66"/>
    </row>
    <row r="718" spans="2:2">
      <c r="B718" s="66"/>
    </row>
    <row r="719" spans="2:2">
      <c r="B719" s="66"/>
    </row>
    <row r="720" spans="2:2">
      <c r="B720" s="66"/>
    </row>
    <row r="721" spans="2:2">
      <c r="B721" s="66"/>
    </row>
    <row r="722" spans="2:2">
      <c r="B722" s="66"/>
    </row>
    <row r="723" spans="2:2">
      <c r="B723" s="66"/>
    </row>
    <row r="724" spans="2:2">
      <c r="B724" s="66"/>
    </row>
    <row r="725" spans="2:2">
      <c r="B725" s="66"/>
    </row>
    <row r="726" spans="2:2">
      <c r="B726" s="66"/>
    </row>
    <row r="727" spans="2:2">
      <c r="B727" s="66"/>
    </row>
    <row r="728" spans="2:2">
      <c r="B728" s="66"/>
    </row>
    <row r="729" spans="2:2">
      <c r="B729" s="66"/>
    </row>
    <row r="730" spans="2:2">
      <c r="B730" s="66"/>
    </row>
    <row r="731" spans="2:2">
      <c r="B731" s="66"/>
    </row>
    <row r="732" spans="2:2">
      <c r="B732" s="66"/>
    </row>
    <row r="733" spans="2:2">
      <c r="B733" s="66"/>
    </row>
    <row r="734" spans="2:2">
      <c r="B734" s="66"/>
    </row>
    <row r="735" spans="2:2">
      <c r="B735" s="66"/>
    </row>
    <row r="736" spans="2:2">
      <c r="B736" s="66"/>
    </row>
    <row r="737" spans="2:2">
      <c r="B737" s="66"/>
    </row>
    <row r="738" spans="2:2">
      <c r="B738" s="66"/>
    </row>
    <row r="739" spans="2:2">
      <c r="B739" s="66"/>
    </row>
    <row r="740" spans="2:2">
      <c r="B740" s="66"/>
    </row>
    <row r="741" spans="2:2">
      <c r="B741" s="66"/>
    </row>
    <row r="742" spans="2:2">
      <c r="B742" s="66"/>
    </row>
    <row r="743" spans="2:2">
      <c r="B743" s="66"/>
    </row>
    <row r="744" spans="2:2">
      <c r="B744" s="66"/>
    </row>
    <row r="745" spans="2:2">
      <c r="B745" s="66"/>
    </row>
    <row r="746" spans="2:2">
      <c r="B746" s="66"/>
    </row>
    <row r="747" spans="2:2">
      <c r="B747" s="66"/>
    </row>
    <row r="748" spans="2:2">
      <c r="B748" s="66"/>
    </row>
    <row r="749" spans="2:2">
      <c r="B749" s="66"/>
    </row>
    <row r="750" spans="2:2">
      <c r="B750" s="66"/>
    </row>
    <row r="751" spans="2:2">
      <c r="B751" s="66"/>
    </row>
    <row r="752" spans="2:2">
      <c r="B752" s="66"/>
    </row>
    <row r="753" spans="2:2">
      <c r="B753" s="66"/>
    </row>
    <row r="754" spans="2:2">
      <c r="B754" s="66"/>
    </row>
    <row r="755" spans="2:2">
      <c r="B755" s="66"/>
    </row>
    <row r="756" spans="2:2">
      <c r="B756" s="66"/>
    </row>
    <row r="757" spans="2:2">
      <c r="B757" s="66"/>
    </row>
    <row r="758" spans="2:2">
      <c r="B758" s="66"/>
    </row>
    <row r="759" spans="2:2">
      <c r="B759" s="66"/>
    </row>
    <row r="760" spans="2:2">
      <c r="B760" s="66"/>
    </row>
    <row r="761" spans="2:2">
      <c r="B761" s="66"/>
    </row>
    <row r="762" spans="2:2">
      <c r="B762" s="66"/>
    </row>
    <row r="763" spans="2:2">
      <c r="B763" s="66"/>
    </row>
    <row r="764" spans="2:2">
      <c r="B764" s="66"/>
    </row>
    <row r="765" spans="2:2">
      <c r="B765" s="66"/>
    </row>
    <row r="766" spans="2:2">
      <c r="B766" s="66"/>
    </row>
    <row r="767" spans="2:2">
      <c r="B767" s="66"/>
    </row>
    <row r="768" spans="2:2">
      <c r="B768" s="66"/>
    </row>
    <row r="769" spans="2:2">
      <c r="B769" s="66"/>
    </row>
    <row r="770" spans="2:2">
      <c r="B770" s="66"/>
    </row>
    <row r="771" spans="2:2">
      <c r="B771" s="66"/>
    </row>
    <row r="772" spans="2:2">
      <c r="B772" s="66"/>
    </row>
    <row r="773" spans="2:2">
      <c r="B773" s="66"/>
    </row>
    <row r="774" spans="2:2">
      <c r="B774" s="66"/>
    </row>
    <row r="775" spans="2:2">
      <c r="B775" s="66"/>
    </row>
    <row r="776" spans="2:2">
      <c r="B776" s="66"/>
    </row>
    <row r="777" spans="2:2">
      <c r="B777" s="66"/>
    </row>
    <row r="778" spans="2:2">
      <c r="B778" s="66"/>
    </row>
    <row r="779" spans="2:2">
      <c r="B779" s="66"/>
    </row>
    <row r="780" spans="2:2">
      <c r="B780" s="66"/>
    </row>
    <row r="781" spans="2:2">
      <c r="B781" s="66"/>
    </row>
    <row r="782" spans="2:2">
      <c r="B782" s="66"/>
    </row>
    <row r="783" spans="2:2">
      <c r="B783" s="66"/>
    </row>
    <row r="784" spans="2:2">
      <c r="B784" s="66"/>
    </row>
    <row r="785" spans="2:2">
      <c r="B785" s="66"/>
    </row>
    <row r="786" spans="2:2">
      <c r="B786" s="66"/>
    </row>
    <row r="787" spans="2:2">
      <c r="B787" s="66"/>
    </row>
    <row r="788" spans="2:2">
      <c r="B788" s="66"/>
    </row>
    <row r="789" spans="2:2">
      <c r="B789" s="66"/>
    </row>
    <row r="790" spans="2:2">
      <c r="B790" s="66"/>
    </row>
    <row r="791" spans="2:2">
      <c r="B791" s="66"/>
    </row>
    <row r="792" spans="2:2">
      <c r="B792" s="66"/>
    </row>
    <row r="793" spans="2:2">
      <c r="B793" s="66"/>
    </row>
    <row r="794" spans="2:2">
      <c r="B794" s="66"/>
    </row>
    <row r="795" spans="2:2">
      <c r="B795" s="66"/>
    </row>
    <row r="796" spans="2:2">
      <c r="B796" s="66"/>
    </row>
    <row r="797" spans="2:2">
      <c r="B797" s="66"/>
    </row>
    <row r="798" spans="2:2">
      <c r="B798" s="66"/>
    </row>
    <row r="799" spans="2:2">
      <c r="B799" s="66"/>
    </row>
    <row r="800" spans="2:2">
      <c r="B800" s="66"/>
    </row>
    <row r="801" spans="2:2">
      <c r="B801" s="66"/>
    </row>
    <row r="802" spans="2:2">
      <c r="B802" s="66"/>
    </row>
    <row r="803" spans="2:2">
      <c r="B803" s="66"/>
    </row>
    <row r="804" spans="2:2">
      <c r="B804" s="66"/>
    </row>
    <row r="805" spans="2:2">
      <c r="B805" s="66"/>
    </row>
    <row r="806" spans="2:2">
      <c r="B806" s="66"/>
    </row>
    <row r="807" spans="2:2">
      <c r="B807" s="66"/>
    </row>
    <row r="808" spans="2:2">
      <c r="B808" s="66"/>
    </row>
    <row r="809" spans="2:2">
      <c r="B809" s="66"/>
    </row>
    <row r="810" spans="2:2">
      <c r="B810" s="66"/>
    </row>
    <row r="811" spans="2:2">
      <c r="B811" s="66"/>
    </row>
    <row r="812" spans="2:2">
      <c r="B812" s="66"/>
    </row>
    <row r="813" spans="2:2">
      <c r="B813" s="66"/>
    </row>
    <row r="814" spans="2:2">
      <c r="B814" s="66"/>
    </row>
    <row r="815" spans="2:2">
      <c r="B815" s="66"/>
    </row>
    <row r="816" spans="2:2">
      <c r="B816" s="66"/>
    </row>
    <row r="817" spans="2:2">
      <c r="B817" s="66"/>
    </row>
    <row r="818" spans="2:2">
      <c r="B818" s="66"/>
    </row>
    <row r="819" spans="2:2">
      <c r="B819" s="66"/>
    </row>
    <row r="820" spans="2:2">
      <c r="B820" s="66"/>
    </row>
    <row r="821" spans="2:2">
      <c r="B821" s="66"/>
    </row>
    <row r="822" spans="2:2">
      <c r="B822" s="66"/>
    </row>
    <row r="823" spans="2:2">
      <c r="B823" s="66"/>
    </row>
    <row r="824" spans="2:2">
      <c r="B824" s="66"/>
    </row>
    <row r="825" spans="2:2">
      <c r="B825" s="66"/>
    </row>
    <row r="826" spans="2:2">
      <c r="B826" s="66"/>
    </row>
    <row r="827" spans="2:2">
      <c r="B827" s="66"/>
    </row>
    <row r="828" spans="2:2">
      <c r="B828" s="66"/>
    </row>
    <row r="829" spans="2:2">
      <c r="B829" s="66"/>
    </row>
    <row r="830" spans="2:2">
      <c r="B830" s="66"/>
    </row>
    <row r="831" spans="2:2">
      <c r="B831" s="66"/>
    </row>
    <row r="832" spans="2:2">
      <c r="B832" s="66"/>
    </row>
    <row r="833" spans="2:2">
      <c r="B833" s="66"/>
    </row>
    <row r="834" spans="2:2">
      <c r="B834" s="66"/>
    </row>
    <row r="835" spans="2:2">
      <c r="B835" s="66"/>
    </row>
    <row r="836" spans="2:2">
      <c r="B836" s="66"/>
    </row>
    <row r="837" spans="2:2">
      <c r="B837" s="66"/>
    </row>
    <row r="838" spans="2:2">
      <c r="B838" s="66"/>
    </row>
    <row r="839" spans="2:2">
      <c r="B839" s="66"/>
    </row>
    <row r="840" spans="2:2">
      <c r="B840" s="66"/>
    </row>
    <row r="841" spans="2:2">
      <c r="B841" s="66"/>
    </row>
    <row r="842" spans="2:2">
      <c r="B842" s="66"/>
    </row>
    <row r="843" spans="2:2">
      <c r="B843" s="66"/>
    </row>
    <row r="844" spans="2:2">
      <c r="B844" s="66"/>
    </row>
    <row r="845" spans="2:2">
      <c r="B845" s="66"/>
    </row>
    <row r="846" spans="2:2">
      <c r="B846" s="66"/>
    </row>
    <row r="847" spans="2:2">
      <c r="B847" s="66"/>
    </row>
    <row r="848" spans="2:2">
      <c r="B848" s="66"/>
    </row>
    <row r="849" spans="2:2">
      <c r="B849" s="66"/>
    </row>
    <row r="850" spans="2:2">
      <c r="B850" s="66"/>
    </row>
    <row r="851" spans="2:2">
      <c r="B851" s="66"/>
    </row>
    <row r="852" spans="2:2">
      <c r="B852" s="66"/>
    </row>
    <row r="853" spans="2:2">
      <c r="B853" s="66"/>
    </row>
    <row r="854" spans="2:2">
      <c r="B854" s="66"/>
    </row>
    <row r="855" spans="2:2">
      <c r="B855" s="66"/>
    </row>
    <row r="856" spans="2:2">
      <c r="B856" s="66"/>
    </row>
    <row r="857" spans="2:2">
      <c r="B857" s="66"/>
    </row>
    <row r="858" spans="2:2">
      <c r="B858" s="66"/>
    </row>
    <row r="859" spans="2:2">
      <c r="B859" s="66"/>
    </row>
    <row r="860" spans="2:2">
      <c r="B860" s="66"/>
    </row>
    <row r="861" spans="2:2">
      <c r="B861" s="66"/>
    </row>
    <row r="862" spans="2:2">
      <c r="B862" s="66"/>
    </row>
    <row r="863" spans="2:2">
      <c r="B863" s="66"/>
    </row>
    <row r="864" spans="2:2">
      <c r="B864" s="66"/>
    </row>
    <row r="865" spans="2:2">
      <c r="B865" s="66"/>
    </row>
    <row r="866" spans="2:2">
      <c r="B866" s="66"/>
    </row>
    <row r="867" spans="2:2">
      <c r="B867" s="66"/>
    </row>
    <row r="868" spans="2:2">
      <c r="B868" s="66"/>
    </row>
    <row r="869" spans="2:2">
      <c r="B869" s="66"/>
    </row>
    <row r="870" spans="2:2">
      <c r="B870" s="66"/>
    </row>
    <row r="871" spans="2:2">
      <c r="B871" s="66"/>
    </row>
    <row r="872" spans="2:2">
      <c r="B872" s="66"/>
    </row>
    <row r="873" spans="2:2">
      <c r="B873" s="66"/>
    </row>
    <row r="874" spans="2:2">
      <c r="B874" s="66"/>
    </row>
    <row r="875" spans="2:2">
      <c r="B875" s="66"/>
    </row>
    <row r="876" spans="2:2">
      <c r="B876" s="66"/>
    </row>
    <row r="877" spans="2:2">
      <c r="B877" s="66"/>
    </row>
    <row r="878" spans="2:2">
      <c r="B878" s="66"/>
    </row>
    <row r="879" spans="2:2">
      <c r="B879" s="66"/>
    </row>
    <row r="880" spans="2:2">
      <c r="B880" s="66"/>
    </row>
    <row r="881" spans="2:2">
      <c r="B881" s="66"/>
    </row>
    <row r="882" spans="2:2">
      <c r="B882" s="66"/>
    </row>
    <row r="883" spans="2:2">
      <c r="B883" s="66"/>
    </row>
    <row r="884" spans="2:2">
      <c r="B884" s="66"/>
    </row>
    <row r="885" spans="2:2">
      <c r="B885" s="66"/>
    </row>
    <row r="886" spans="2:2">
      <c r="B886" s="66"/>
    </row>
    <row r="887" spans="2:2">
      <c r="B887" s="66"/>
    </row>
  </sheetData>
  <sheetProtection algorithmName="SHA-512" hashValue="7jvHb8f3cc3al41zc+ph2QzkBzYvXz5Utzo6PsZvRfz8q+3qxGSYMypS/U7675ACEk+lm+01BmT85nFjB+mIJA==" saltValue="dsjm/0DMSnqpou3U3uA3eQ==" spinCount="100000" sheet="1" objects="1" scenarios="1"/>
  <mergeCells count="2">
    <mergeCell ref="B7:C7"/>
    <mergeCell ref="B9:C9"/>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52F73-67A6-C341-9A7B-DB7A2DC32E83}">
  <sheetPr codeName="Sheet6"/>
  <dimension ref="B7:V840"/>
  <sheetViews>
    <sheetView showGridLines="0" zoomScaleNormal="100" workbookViewId="0">
      <selection activeCell="B7" sqref="B7:C7"/>
    </sheetView>
  </sheetViews>
  <sheetFormatPr baseColWidth="10" defaultColWidth="10.83203125" defaultRowHeight="15"/>
  <cols>
    <col min="1" max="1" width="1.6640625" style="2" customWidth="1"/>
    <col min="2" max="2" width="4.5" style="2" customWidth="1"/>
    <col min="3" max="3" width="56" style="2" customWidth="1"/>
    <col min="4" max="4" width="14.83203125" style="2" customWidth="1"/>
    <col min="5" max="8" width="12.83203125" style="2" customWidth="1"/>
    <col min="9" max="11" width="12.83203125" style="2" hidden="1" customWidth="1"/>
    <col min="12" max="12" width="12.83203125" style="2" customWidth="1"/>
    <col min="13" max="15" width="12.1640625" style="2" hidden="1" customWidth="1"/>
    <col min="16" max="16" width="12.83203125" style="2" customWidth="1"/>
    <col min="17" max="19" width="12.1640625" style="2" hidden="1" customWidth="1"/>
    <col min="20" max="20" width="12.83203125" style="2" hidden="1" customWidth="1"/>
    <col min="21" max="16384" width="10.83203125" style="2"/>
  </cols>
  <sheetData>
    <row r="7" spans="2:20" ht="21" customHeight="1">
      <c r="B7" s="140" t="s">
        <v>415</v>
      </c>
      <c r="C7" s="140"/>
      <c r="D7" s="1"/>
    </row>
    <row r="9" spans="2:20" s="9" customFormat="1" ht="20" customHeight="1">
      <c r="B9" s="141" t="s">
        <v>71</v>
      </c>
      <c r="C9" s="141"/>
      <c r="D9" s="5" t="s">
        <v>61</v>
      </c>
      <c r="E9" s="6" t="s">
        <v>0</v>
      </c>
      <c r="F9" s="6" t="s">
        <v>1</v>
      </c>
      <c r="G9" s="6" t="s">
        <v>2</v>
      </c>
      <c r="H9" s="147" t="s">
        <v>6</v>
      </c>
      <c r="I9" s="6" t="s">
        <v>0</v>
      </c>
      <c r="J9" s="6" t="s">
        <v>1</v>
      </c>
      <c r="K9" s="6" t="s">
        <v>2</v>
      </c>
      <c r="L9" s="147" t="s">
        <v>7</v>
      </c>
      <c r="M9" s="5" t="s">
        <v>8</v>
      </c>
      <c r="N9" s="5" t="s">
        <v>9</v>
      </c>
      <c r="O9" s="5" t="s">
        <v>11</v>
      </c>
      <c r="P9" s="147" t="s">
        <v>15</v>
      </c>
      <c r="Q9" s="5" t="s">
        <v>44</v>
      </c>
      <c r="R9" s="5" t="s">
        <v>45</v>
      </c>
      <c r="S9" s="5" t="s">
        <v>47</v>
      </c>
      <c r="T9" s="147" t="s">
        <v>50</v>
      </c>
    </row>
    <row r="10" spans="2:20">
      <c r="B10" s="10" t="s">
        <v>254</v>
      </c>
      <c r="C10" s="11"/>
      <c r="D10" s="11"/>
    </row>
    <row r="11" spans="2:20" ht="16">
      <c r="C11" s="11" t="s">
        <v>255</v>
      </c>
      <c r="D11" s="11" t="s">
        <v>62</v>
      </c>
      <c r="E11" s="117">
        <v>71613.87</v>
      </c>
      <c r="F11" s="118">
        <v>33391.008000000002</v>
      </c>
      <c r="G11" s="117">
        <v>160</v>
      </c>
      <c r="H11" s="13">
        <f t="shared" ref="H11:H19" si="0">SUM(E11:G11)</f>
        <v>105164.878</v>
      </c>
      <c r="I11" s="117">
        <v>66710.346999999994</v>
      </c>
      <c r="J11" s="118">
        <v>34777.49</v>
      </c>
      <c r="K11" s="117">
        <v>63</v>
      </c>
      <c r="L11" s="13">
        <f t="shared" ref="L11:L19" si="1">SUM(I11:K11)</f>
        <v>101550.837</v>
      </c>
      <c r="M11" s="12">
        <v>55028.699000000001</v>
      </c>
      <c r="N11" s="12">
        <v>36553.17</v>
      </c>
      <c r="O11" s="12">
        <v>5753</v>
      </c>
      <c r="P11" s="13">
        <f t="shared" ref="P11:P19" si="2">SUM(M11:O11)</f>
        <v>97334.869000000006</v>
      </c>
      <c r="Q11" s="12">
        <v>45125.61</v>
      </c>
      <c r="R11" s="12">
        <v>29560.736000000001</v>
      </c>
      <c r="S11" s="12">
        <v>8368</v>
      </c>
      <c r="T11" s="13">
        <f t="shared" ref="T11:T19" si="3">SUM(Q11:S11)</f>
        <v>83054.346000000005</v>
      </c>
    </row>
    <row r="12" spans="2:20" ht="16">
      <c r="C12" s="11" t="s">
        <v>256</v>
      </c>
      <c r="D12" s="11" t="s">
        <v>63</v>
      </c>
      <c r="E12" s="117">
        <v>362967</v>
      </c>
      <c r="F12" s="117">
        <v>6332</v>
      </c>
      <c r="G12" s="117">
        <v>0</v>
      </c>
      <c r="H12" s="13">
        <f t="shared" si="0"/>
        <v>369299</v>
      </c>
      <c r="I12" s="117">
        <v>364690</v>
      </c>
      <c r="J12" s="117">
        <v>6199</v>
      </c>
      <c r="K12" s="117">
        <v>351</v>
      </c>
      <c r="L12" s="13">
        <f t="shared" si="1"/>
        <v>371240</v>
      </c>
      <c r="M12" s="12">
        <v>414668</v>
      </c>
      <c r="N12" s="12">
        <v>6187</v>
      </c>
      <c r="O12" s="12">
        <v>3653</v>
      </c>
      <c r="P12" s="13">
        <f t="shared" si="2"/>
        <v>424508</v>
      </c>
      <c r="Q12" s="12">
        <v>342331</v>
      </c>
      <c r="R12" s="12">
        <v>5757</v>
      </c>
      <c r="S12" s="12">
        <v>1872</v>
      </c>
      <c r="T12" s="13">
        <f t="shared" si="3"/>
        <v>349960</v>
      </c>
    </row>
    <row r="13" spans="2:20" ht="16">
      <c r="C13" s="11" t="s">
        <v>257</v>
      </c>
      <c r="D13" s="11" t="s">
        <v>63</v>
      </c>
      <c r="E13" s="117">
        <v>69392</v>
      </c>
      <c r="F13" s="117">
        <v>68102</v>
      </c>
      <c r="G13" s="117">
        <v>18037</v>
      </c>
      <c r="H13" s="13">
        <f t="shared" si="0"/>
        <v>155531</v>
      </c>
      <c r="I13" s="117">
        <v>81770</v>
      </c>
      <c r="J13" s="117">
        <v>58259</v>
      </c>
      <c r="K13" s="117">
        <v>5503</v>
      </c>
      <c r="L13" s="13">
        <f t="shared" si="1"/>
        <v>145532</v>
      </c>
      <c r="M13" s="12">
        <v>77039</v>
      </c>
      <c r="N13" s="12">
        <v>51799</v>
      </c>
      <c r="O13" s="12">
        <v>35778</v>
      </c>
      <c r="P13" s="13">
        <f t="shared" si="2"/>
        <v>164616</v>
      </c>
      <c r="Q13" s="12">
        <v>41332</v>
      </c>
      <c r="R13" s="12">
        <v>59735</v>
      </c>
      <c r="S13" s="12">
        <v>42391</v>
      </c>
      <c r="T13" s="13">
        <f t="shared" si="3"/>
        <v>143458</v>
      </c>
    </row>
    <row r="14" spans="2:20" ht="16" customHeight="1">
      <c r="C14" s="11" t="s">
        <v>258</v>
      </c>
      <c r="D14" s="11" t="s">
        <v>63</v>
      </c>
      <c r="E14" s="117">
        <v>145592</v>
      </c>
      <c r="F14" s="117">
        <v>67811</v>
      </c>
      <c r="G14" s="117">
        <v>585285</v>
      </c>
      <c r="H14" s="13">
        <f t="shared" si="0"/>
        <v>798688</v>
      </c>
      <c r="I14" s="117">
        <v>151309</v>
      </c>
      <c r="J14" s="117">
        <v>0</v>
      </c>
      <c r="K14" s="117">
        <v>58057</v>
      </c>
      <c r="L14" s="13">
        <f t="shared" si="1"/>
        <v>209366</v>
      </c>
      <c r="M14" s="12">
        <v>1399293</v>
      </c>
      <c r="N14" s="12">
        <v>0</v>
      </c>
      <c r="O14" s="12">
        <v>0</v>
      </c>
      <c r="P14" s="13">
        <f t="shared" si="2"/>
        <v>1399293</v>
      </c>
      <c r="Q14" s="12">
        <v>97329</v>
      </c>
      <c r="R14" s="12">
        <v>0</v>
      </c>
      <c r="S14" s="12"/>
      <c r="T14" s="13">
        <f t="shared" si="3"/>
        <v>97329</v>
      </c>
    </row>
    <row r="15" spans="2:20" ht="16" customHeight="1">
      <c r="C15" s="11" t="s">
        <v>259</v>
      </c>
      <c r="D15" s="11" t="s">
        <v>63</v>
      </c>
      <c r="E15" s="117">
        <v>817229</v>
      </c>
      <c r="F15" s="117">
        <v>1126119</v>
      </c>
      <c r="G15" s="117"/>
      <c r="H15" s="13">
        <f t="shared" si="0"/>
        <v>1943348</v>
      </c>
      <c r="I15" s="117">
        <v>877600</v>
      </c>
      <c r="J15" s="117">
        <v>1075568</v>
      </c>
      <c r="K15" s="117"/>
      <c r="L15" s="13">
        <f t="shared" si="1"/>
        <v>1953168</v>
      </c>
      <c r="M15" s="12"/>
      <c r="N15" s="12">
        <v>0</v>
      </c>
      <c r="O15" s="12">
        <v>0</v>
      </c>
      <c r="P15" s="13">
        <f t="shared" si="2"/>
        <v>0</v>
      </c>
      <c r="Q15" s="12">
        <v>583976</v>
      </c>
      <c r="R15" s="12">
        <v>0</v>
      </c>
      <c r="S15" s="12">
        <v>191080</v>
      </c>
      <c r="T15" s="13">
        <f t="shared" si="3"/>
        <v>775056</v>
      </c>
    </row>
    <row r="16" spans="2:20" ht="16">
      <c r="C16" s="11" t="s">
        <v>260</v>
      </c>
      <c r="D16" s="11" t="s">
        <v>63</v>
      </c>
      <c r="E16" s="117">
        <v>1048573</v>
      </c>
      <c r="F16" s="117">
        <v>0</v>
      </c>
      <c r="G16" s="117"/>
      <c r="H16" s="13">
        <f t="shared" si="0"/>
        <v>1048573</v>
      </c>
      <c r="I16" s="117">
        <v>748432</v>
      </c>
      <c r="J16" s="117">
        <v>82142</v>
      </c>
      <c r="K16" s="117"/>
      <c r="L16" s="13">
        <f t="shared" si="1"/>
        <v>830574</v>
      </c>
      <c r="M16" s="12"/>
      <c r="N16" s="12">
        <v>1016355</v>
      </c>
      <c r="O16" s="12">
        <v>155029</v>
      </c>
      <c r="P16" s="13">
        <f t="shared" si="2"/>
        <v>1171384</v>
      </c>
      <c r="Q16" s="12">
        <v>291988</v>
      </c>
      <c r="R16" s="12">
        <v>909780</v>
      </c>
      <c r="S16" s="12"/>
      <c r="T16" s="13">
        <f t="shared" si="3"/>
        <v>1201768</v>
      </c>
    </row>
    <row r="17" spans="2:21" ht="16">
      <c r="C17" s="11" t="s">
        <v>261</v>
      </c>
      <c r="D17" s="11" t="s">
        <v>63</v>
      </c>
      <c r="E17" s="117">
        <v>70565</v>
      </c>
      <c r="F17" s="117">
        <v>0</v>
      </c>
      <c r="G17" s="117">
        <v>537932</v>
      </c>
      <c r="H17" s="13">
        <f t="shared" si="0"/>
        <v>608497</v>
      </c>
      <c r="I17" s="117">
        <v>23602</v>
      </c>
      <c r="J17" s="117">
        <v>0</v>
      </c>
      <c r="K17" s="117">
        <v>132144</v>
      </c>
      <c r="L17" s="13">
        <f t="shared" si="1"/>
        <v>155746</v>
      </c>
      <c r="M17" s="12">
        <v>0</v>
      </c>
      <c r="N17" s="12">
        <v>0</v>
      </c>
      <c r="O17" s="12">
        <v>0</v>
      </c>
      <c r="P17" s="13">
        <f t="shared" si="2"/>
        <v>0</v>
      </c>
      <c r="Q17" s="12"/>
      <c r="R17" s="12">
        <v>0</v>
      </c>
      <c r="S17" s="12"/>
      <c r="T17" s="13">
        <f t="shared" si="3"/>
        <v>0</v>
      </c>
    </row>
    <row r="18" spans="2:21" ht="16">
      <c r="C18" s="11" t="s">
        <v>262</v>
      </c>
      <c r="D18" s="11" t="s">
        <v>26</v>
      </c>
      <c r="E18" s="117">
        <v>456</v>
      </c>
      <c r="F18" s="117">
        <v>865.08799999999997</v>
      </c>
      <c r="G18" s="117">
        <v>6</v>
      </c>
      <c r="H18" s="13">
        <f t="shared" si="0"/>
        <v>1327.088</v>
      </c>
      <c r="I18" s="117">
        <v>741</v>
      </c>
      <c r="J18" s="117">
        <v>1219.3610000000001</v>
      </c>
      <c r="K18" s="117">
        <v>0.40500000000000003</v>
      </c>
      <c r="L18" s="13">
        <f t="shared" si="1"/>
        <v>1960.7660000000001</v>
      </c>
      <c r="M18" s="12">
        <v>757</v>
      </c>
      <c r="N18" s="12">
        <v>1217.77</v>
      </c>
      <c r="O18" s="12">
        <v>122.05</v>
      </c>
      <c r="P18" s="13">
        <f t="shared" si="2"/>
        <v>2096.8200000000002</v>
      </c>
      <c r="Q18" s="12"/>
      <c r="R18" s="12"/>
      <c r="S18" s="12"/>
      <c r="T18" s="13">
        <f t="shared" si="3"/>
        <v>0</v>
      </c>
    </row>
    <row r="19" spans="2:21" ht="16">
      <c r="C19" s="11" t="s">
        <v>263</v>
      </c>
      <c r="D19" s="11" t="s">
        <v>21</v>
      </c>
      <c r="E19" s="117">
        <v>4.3</v>
      </c>
      <c r="F19" s="117">
        <v>0</v>
      </c>
      <c r="G19" s="117"/>
      <c r="H19" s="13">
        <f t="shared" si="0"/>
        <v>4.3</v>
      </c>
      <c r="I19" s="117">
        <v>4.077</v>
      </c>
      <c r="J19" s="117"/>
      <c r="K19" s="117"/>
      <c r="L19" s="13">
        <f t="shared" si="1"/>
        <v>4.077</v>
      </c>
      <c r="M19" s="12">
        <v>27</v>
      </c>
      <c r="N19" s="12"/>
      <c r="O19" s="12"/>
      <c r="P19" s="13">
        <f t="shared" si="2"/>
        <v>27</v>
      </c>
      <c r="Q19" s="12">
        <v>13.62</v>
      </c>
      <c r="R19" s="12"/>
      <c r="S19" s="12"/>
      <c r="T19" s="13">
        <f t="shared" si="3"/>
        <v>13.62</v>
      </c>
    </row>
    <row r="20" spans="2:21" ht="16" customHeight="1" thickBot="1">
      <c r="B20" s="27"/>
      <c r="C20" s="28"/>
      <c r="D20" s="28"/>
      <c r="E20" s="29"/>
      <c r="F20" s="29"/>
      <c r="G20" s="29"/>
      <c r="H20" s="29"/>
      <c r="I20" s="29"/>
      <c r="J20" s="29"/>
      <c r="K20" s="29"/>
      <c r="L20" s="29"/>
      <c r="M20" s="29"/>
      <c r="N20" s="29"/>
      <c r="O20" s="29"/>
      <c r="P20" s="30"/>
      <c r="Q20" s="29"/>
      <c r="R20" s="29"/>
      <c r="S20" s="29"/>
      <c r="T20" s="29"/>
    </row>
    <row r="21" spans="2:21" ht="16">
      <c r="B21" s="10" t="s">
        <v>264</v>
      </c>
      <c r="C21" s="11"/>
      <c r="D21" s="11"/>
      <c r="H21" s="117"/>
      <c r="L21" s="117"/>
      <c r="T21" s="117"/>
    </row>
    <row r="22" spans="2:21" ht="16">
      <c r="C22" s="11" t="s">
        <v>255</v>
      </c>
      <c r="D22" s="11" t="s">
        <v>64</v>
      </c>
      <c r="E22" s="117">
        <v>257809.932</v>
      </c>
      <c r="F22" s="117">
        <v>120207.62880000001</v>
      </c>
      <c r="G22" s="117">
        <v>576.75960000000009</v>
      </c>
      <c r="H22" s="180">
        <f>SUM(E22:G22)</f>
        <v>378594.32039999997</v>
      </c>
      <c r="I22" s="117">
        <v>240157.24919999999</v>
      </c>
      <c r="J22" s="117">
        <v>125198.96399999999</v>
      </c>
      <c r="K22" s="117">
        <v>226.8</v>
      </c>
      <c r="L22" s="180">
        <f>SUM(I22:K22)</f>
        <v>365583.01319999999</v>
      </c>
      <c r="M22" s="117">
        <v>198103.31640000001</v>
      </c>
      <c r="N22" s="117">
        <v>131591.41200000001</v>
      </c>
      <c r="O22" s="117">
        <v>20710.8</v>
      </c>
      <c r="P22" s="180">
        <f t="shared" ref="P22:P29" si="4">SUM(M22:O22)</f>
        <v>350405.52840000001</v>
      </c>
      <c r="Q22" s="117">
        <v>162452.196</v>
      </c>
      <c r="R22" s="117">
        <v>106418.6496</v>
      </c>
      <c r="S22" s="117">
        <v>30124.799999999999</v>
      </c>
      <c r="T22" s="180">
        <f>SUM(Q22:S22)</f>
        <v>298995.64559999999</v>
      </c>
    </row>
    <row r="23" spans="2:21" ht="16">
      <c r="C23" s="11" t="s">
        <v>256</v>
      </c>
      <c r="D23" s="11" t="s">
        <v>64</v>
      </c>
      <c r="E23" s="117">
        <v>9481.2727242993624</v>
      </c>
      <c r="F23" s="117">
        <v>165.40186543201881</v>
      </c>
      <c r="G23" s="117">
        <v>0</v>
      </c>
      <c r="H23" s="180">
        <f t="shared" ref="H23:H29" si="5">SUM(E23:G23)</f>
        <v>9646.6745897313813</v>
      </c>
      <c r="I23" s="117">
        <v>9526.2802123188449</v>
      </c>
      <c r="J23" s="117">
        <v>161.9276948536141</v>
      </c>
      <c r="K23" s="117">
        <v>9.168675736992828</v>
      </c>
      <c r="L23" s="180">
        <f t="shared" ref="L23:L29" si="6">SUM(I23:K23)</f>
        <v>9697.3765829094518</v>
      </c>
      <c r="M23" s="117">
        <v>10823.960152792079</v>
      </c>
      <c r="N23" s="117">
        <v>161.49749068007318</v>
      </c>
      <c r="O23" s="117">
        <v>95.353213747261577</v>
      </c>
      <c r="P23" s="180">
        <f t="shared" si="4"/>
        <v>11080.810857219412</v>
      </c>
      <c r="Q23" s="117">
        <v>8935.768139970929</v>
      </c>
      <c r="R23" s="117">
        <v>150.27332371830957</v>
      </c>
      <c r="S23" s="117">
        <v>48.864280354468562</v>
      </c>
      <c r="T23" s="180">
        <f t="shared" ref="T23:T29" si="7">SUM(Q23:S23)</f>
        <v>9134.9057440437064</v>
      </c>
    </row>
    <row r="24" spans="2:21" ht="16">
      <c r="C24" s="11" t="s">
        <v>257</v>
      </c>
      <c r="D24" s="11" t="s">
        <v>64</v>
      </c>
      <c r="E24" s="117">
        <v>2449.864209279609</v>
      </c>
      <c r="F24" s="117">
        <v>2404.3211376002987</v>
      </c>
      <c r="G24" s="117">
        <v>636.79099525559593</v>
      </c>
      <c r="H24" s="180">
        <f t="shared" si="5"/>
        <v>5490.9763421355028</v>
      </c>
      <c r="I24" s="117">
        <v>2709.9405424206843</v>
      </c>
      <c r="J24" s="117">
        <v>1930.7622118244667</v>
      </c>
      <c r="K24" s="117">
        <v>182.3749884424731</v>
      </c>
      <c r="L24" s="180">
        <f t="shared" si="6"/>
        <v>4823.0777426876239</v>
      </c>
      <c r="M24" s="117">
        <v>2599.6682439414976</v>
      </c>
      <c r="N24" s="117">
        <v>1747.9486411807738</v>
      </c>
      <c r="O24" s="117">
        <v>1207.3226603634378</v>
      </c>
      <c r="P24" s="180">
        <f t="shared" si="4"/>
        <v>5554.9395454857095</v>
      </c>
      <c r="Q24" s="117">
        <v>1394.7414667712453</v>
      </c>
      <c r="R24" s="117">
        <v>2015.7476414782818</v>
      </c>
      <c r="S24" s="117">
        <v>1430.4772456667924</v>
      </c>
      <c r="T24" s="180">
        <f t="shared" si="7"/>
        <v>4840.9663539163193</v>
      </c>
    </row>
    <row r="25" spans="2:21" ht="16">
      <c r="C25" s="11" t="s">
        <v>258</v>
      </c>
      <c r="D25" s="11" t="s">
        <v>64</v>
      </c>
      <c r="E25" s="117">
        <v>5554.0000993790072</v>
      </c>
      <c r="F25" s="117">
        <v>2586.8337596776596</v>
      </c>
      <c r="G25" s="117">
        <v>22327.277241641314</v>
      </c>
      <c r="H25" s="180">
        <f t="shared" si="5"/>
        <v>30468.111100697981</v>
      </c>
      <c r="I25" s="117">
        <v>5700.7126355375558</v>
      </c>
      <c r="J25" s="117">
        <v>0</v>
      </c>
      <c r="K25" s="117">
        <v>2187.3535181740931</v>
      </c>
      <c r="L25" s="180">
        <f t="shared" si="6"/>
        <v>7888.0661537116484</v>
      </c>
      <c r="M25" s="117">
        <v>53133.375062033258</v>
      </c>
      <c r="N25" s="117">
        <v>0</v>
      </c>
      <c r="O25" s="117">
        <v>0</v>
      </c>
      <c r="P25" s="180">
        <f t="shared" si="4"/>
        <v>53133.375062033258</v>
      </c>
      <c r="Q25" s="117">
        <v>3695.7365336728153</v>
      </c>
      <c r="R25" s="117">
        <v>0</v>
      </c>
      <c r="S25" s="117">
        <v>0</v>
      </c>
      <c r="T25" s="180">
        <f t="shared" si="7"/>
        <v>3695.7365336728153</v>
      </c>
    </row>
    <row r="26" spans="2:21" ht="16">
      <c r="C26" s="11" t="s">
        <v>259</v>
      </c>
      <c r="D26" s="11" t="s">
        <v>64</v>
      </c>
      <c r="E26" s="117">
        <v>31175.407626898497</v>
      </c>
      <c r="F26" s="117">
        <v>42958.851021433788</v>
      </c>
      <c r="G26" s="117">
        <v>0</v>
      </c>
      <c r="H26" s="180">
        <f t="shared" si="5"/>
        <v>74134.258648332281</v>
      </c>
      <c r="I26" s="117">
        <v>33064.427158647261</v>
      </c>
      <c r="J26" s="117">
        <v>40523.06265972188</v>
      </c>
      <c r="K26" s="117">
        <v>0</v>
      </c>
      <c r="L26" s="180">
        <f t="shared" si="6"/>
        <v>73587.48981836914</v>
      </c>
      <c r="M26" s="117">
        <v>0</v>
      </c>
      <c r="N26" s="117">
        <v>0</v>
      </c>
      <c r="O26" s="117">
        <v>0</v>
      </c>
      <c r="P26" s="180">
        <f t="shared" si="4"/>
        <v>0</v>
      </c>
      <c r="Q26" s="117">
        <v>22174.495145209712</v>
      </c>
      <c r="R26" s="117">
        <v>0</v>
      </c>
      <c r="S26" s="117">
        <v>7255.6107311716087</v>
      </c>
      <c r="T26" s="180">
        <f t="shared" si="7"/>
        <v>29430.10587638132</v>
      </c>
    </row>
    <row r="27" spans="2:21" ht="16">
      <c r="C27" s="11" t="s">
        <v>260</v>
      </c>
      <c r="D27" s="11" t="s">
        <v>64</v>
      </c>
      <c r="E27" s="117">
        <v>40000.649391492276</v>
      </c>
      <c r="F27" s="117">
        <v>0</v>
      </c>
      <c r="G27" s="117">
        <v>0</v>
      </c>
      <c r="H27" s="180">
        <f t="shared" si="5"/>
        <v>40000.649391492276</v>
      </c>
      <c r="I27" s="117">
        <v>28197.898071103791</v>
      </c>
      <c r="J27" s="117">
        <v>3094.7791427365582</v>
      </c>
      <c r="K27" s="117">
        <v>0</v>
      </c>
      <c r="L27" s="180">
        <f t="shared" si="6"/>
        <v>31292.67721384035</v>
      </c>
      <c r="M27" s="117">
        <v>0</v>
      </c>
      <c r="N27" s="117">
        <v>38592.61170546327</v>
      </c>
      <c r="O27" s="117">
        <v>5886.6970695143573</v>
      </c>
      <c r="P27" s="180">
        <f t="shared" si="4"/>
        <v>44479.308774977631</v>
      </c>
      <c r="Q27" s="117">
        <v>11087.247572604856</v>
      </c>
      <c r="R27" s="117">
        <v>34545.789883846068</v>
      </c>
      <c r="S27" s="117">
        <v>0</v>
      </c>
      <c r="T27" s="180">
        <f t="shared" si="7"/>
        <v>45633.037456450926</v>
      </c>
    </row>
    <row r="28" spans="2:21" ht="16">
      <c r="C28" s="11" t="s">
        <v>261</v>
      </c>
      <c r="D28" s="11" t="s">
        <v>64</v>
      </c>
      <c r="E28" s="117">
        <v>2691.8925285227183</v>
      </c>
      <c r="F28" s="117">
        <v>0</v>
      </c>
      <c r="G28" s="117">
        <v>20520.869151183771</v>
      </c>
      <c r="H28" s="180">
        <f t="shared" si="5"/>
        <v>23212.761679706491</v>
      </c>
      <c r="I28" s="117">
        <v>889.22813331630891</v>
      </c>
      <c r="J28" s="117">
        <v>0</v>
      </c>
      <c r="K28" s="117">
        <v>4978.6527603148179</v>
      </c>
      <c r="L28" s="180">
        <f t="shared" si="6"/>
        <v>5867.880893631127</v>
      </c>
      <c r="M28" s="117">
        <v>0</v>
      </c>
      <c r="N28" s="117">
        <v>0</v>
      </c>
      <c r="O28" s="117">
        <v>0</v>
      </c>
      <c r="P28" s="180">
        <f t="shared" si="4"/>
        <v>0</v>
      </c>
      <c r="Q28" s="117">
        <v>0</v>
      </c>
      <c r="R28" s="117">
        <v>0</v>
      </c>
      <c r="S28" s="117">
        <v>0</v>
      </c>
      <c r="T28" s="180">
        <f t="shared" si="7"/>
        <v>0</v>
      </c>
    </row>
    <row r="29" spans="2:21" ht="16">
      <c r="C29" s="11" t="s">
        <v>262</v>
      </c>
      <c r="D29" s="11" t="s">
        <v>64</v>
      </c>
      <c r="E29" s="117">
        <v>1824</v>
      </c>
      <c r="F29" s="117">
        <v>3460.3519999999999</v>
      </c>
      <c r="G29" s="117">
        <v>23.4</v>
      </c>
      <c r="H29" s="180">
        <f t="shared" si="5"/>
        <v>5307.7519999999995</v>
      </c>
      <c r="I29" s="117">
        <v>2964</v>
      </c>
      <c r="J29" s="117">
        <v>4877.4440000000004</v>
      </c>
      <c r="K29" s="117">
        <v>1.62</v>
      </c>
      <c r="L29" s="180">
        <f t="shared" si="6"/>
        <v>7843.0640000000003</v>
      </c>
      <c r="M29" s="117">
        <v>3028</v>
      </c>
      <c r="N29" s="117">
        <v>4871.08</v>
      </c>
      <c r="O29" s="117">
        <v>488.2</v>
      </c>
      <c r="P29" s="180">
        <f t="shared" si="4"/>
        <v>8387.2800000000007</v>
      </c>
      <c r="Q29" s="117">
        <v>3079.3319999999999</v>
      </c>
      <c r="R29" s="117">
        <v>4108.7359999999999</v>
      </c>
      <c r="S29" s="117">
        <v>756.46400000000006</v>
      </c>
      <c r="T29" s="180">
        <f t="shared" si="7"/>
        <v>7944.5319999999992</v>
      </c>
    </row>
    <row r="30" spans="2:21" s="15" customFormat="1" ht="16">
      <c r="C30" s="16" t="s">
        <v>265</v>
      </c>
      <c r="D30" s="11" t="s">
        <v>64</v>
      </c>
      <c r="E30" s="120">
        <f>SUM(E22:E29)</f>
        <v>350987.01857987145</v>
      </c>
      <c r="F30" s="120">
        <f t="shared" ref="F30:H30" si="8">SUM(F22:F29)</f>
        <v>171783.38858414377</v>
      </c>
      <c r="G30" s="120">
        <f t="shared" si="8"/>
        <v>44085.096988080688</v>
      </c>
      <c r="H30" s="121">
        <f t="shared" si="8"/>
        <v>566855.50415209588</v>
      </c>
      <c r="I30" s="120">
        <f>SUM(I22:I29)</f>
        <v>323209.73595334444</v>
      </c>
      <c r="J30" s="120">
        <f t="shared" ref="J30:T30" si="9">SUM(J22:J29)</f>
        <v>175786.9397091365</v>
      </c>
      <c r="K30" s="120">
        <f t="shared" si="9"/>
        <v>7585.9699426683774</v>
      </c>
      <c r="L30" s="121">
        <f t="shared" si="9"/>
        <v>506582.64560514933</v>
      </c>
      <c r="M30" s="120">
        <f t="shared" si="9"/>
        <v>267688.31985876686</v>
      </c>
      <c r="N30" s="120">
        <f t="shared" si="9"/>
        <v>176964.5498373241</v>
      </c>
      <c r="O30" s="120">
        <f t="shared" si="9"/>
        <v>28388.372943625058</v>
      </c>
      <c r="P30" s="121">
        <f t="shared" si="9"/>
        <v>473041.24263971602</v>
      </c>
      <c r="Q30" s="120">
        <f t="shared" si="9"/>
        <v>212819.51685822956</v>
      </c>
      <c r="R30" s="120">
        <f t="shared" si="9"/>
        <v>147239.19644904268</v>
      </c>
      <c r="S30" s="120">
        <f t="shared" si="9"/>
        <v>39616.216257192871</v>
      </c>
      <c r="T30" s="121">
        <f t="shared" si="9"/>
        <v>399674.92956446513</v>
      </c>
      <c r="U30" s="174"/>
    </row>
    <row r="31" spans="2:21" ht="16">
      <c r="C31" s="11" t="s">
        <v>266</v>
      </c>
      <c r="D31" s="11" t="s">
        <v>65</v>
      </c>
      <c r="E31" s="90">
        <f>E30/[1]Negocio!D11</f>
        <v>0.80982863433816887</v>
      </c>
      <c r="F31" s="90">
        <f>F30/[1]Negocio!E11</f>
        <v>0.38955534371524736</v>
      </c>
      <c r="G31" s="181" t="s">
        <v>17</v>
      </c>
      <c r="H31" s="91">
        <f>H30/[1]Negocio!K11</f>
        <v>0.64829274179031116</v>
      </c>
      <c r="I31" s="90">
        <f>I30/[1]Negocio!L11</f>
        <v>0.78391313173405097</v>
      </c>
      <c r="J31" s="90">
        <f>J30/[1]Negocio!M11</f>
        <v>0.41632094550512033</v>
      </c>
      <c r="K31" s="181" t="s">
        <v>17</v>
      </c>
      <c r="L31" s="91">
        <f>L30/[1]Negocio!S11</f>
        <v>0.60701875472432698</v>
      </c>
      <c r="M31" s="90">
        <f>M30/[1]Negocio!T11</f>
        <v>0.64603617636752753</v>
      </c>
      <c r="N31" s="90">
        <f>N30/[1]Negocio!U11</f>
        <v>0.4228402152313282</v>
      </c>
      <c r="O31" s="90">
        <f>O30/[1]Negocio!W11</f>
        <v>0.52036244053936498</v>
      </c>
      <c r="P31" s="91">
        <f>P30/[1]Negocio!AA11</f>
        <v>0.53304986414579281</v>
      </c>
      <c r="Q31" s="90">
        <f>Q30/[1]Negocio!AB11</f>
        <v>0.61388061249233317</v>
      </c>
      <c r="R31" s="90">
        <f>R30/[1]Negocio!AC11</f>
        <v>0.44459769320370163</v>
      </c>
      <c r="S31" s="90">
        <f>S30/[1]Negocio!AE11</f>
        <v>0.49952988080740501</v>
      </c>
      <c r="T31" s="91">
        <f>T30/[1]Negocio!AH11</f>
        <v>0.52786059692068399</v>
      </c>
    </row>
    <row r="32" spans="2:21" ht="16">
      <c r="C32" s="11" t="s">
        <v>267</v>
      </c>
      <c r="D32" s="11" t="s">
        <v>66</v>
      </c>
      <c r="E32" s="182">
        <f>E30/[1]Negocio!D14</f>
        <v>5.5697752596646152E-2</v>
      </c>
      <c r="F32" s="182">
        <f>F30/[1]Negocio!E14</f>
        <v>7.1585181094744016E-2</v>
      </c>
      <c r="G32" s="181" t="s">
        <v>17</v>
      </c>
      <c r="H32" s="124">
        <f>H30/[1]Negocio!K14</f>
        <v>6.5145748668003989E-2</v>
      </c>
      <c r="I32" s="90">
        <f>I30/[1]Negocio!L14</f>
        <v>4.8975973243641377E-2</v>
      </c>
      <c r="J32" s="90">
        <f>J30/[1]Negocio!M14</f>
        <v>7.4236481330180293E-2</v>
      </c>
      <c r="K32" s="181" t="s">
        <v>17</v>
      </c>
      <c r="L32" s="91">
        <f>L30/[1]Negocio!S14</f>
        <v>5.649231017026328E-2</v>
      </c>
      <c r="M32" s="90">
        <f>M30/[1]Negocio!T14</f>
        <v>4.9581763164933859E-2</v>
      </c>
      <c r="N32" s="90">
        <f>N30/[1]Negocio!U14</f>
        <v>7.1832505742606301E-2</v>
      </c>
      <c r="O32" s="90">
        <f>O30/[1]Negocio!W14</f>
        <v>7.2931326413045297E-2</v>
      </c>
      <c r="P32" s="91">
        <f>P30/[1]Negocio!AA14</f>
        <v>5.7326193185481329E-2</v>
      </c>
      <c r="Q32" s="90">
        <f>Q30/[1]Negocio!AB14</f>
        <v>5.5188992480470919E-2</v>
      </c>
      <c r="R32" s="90">
        <f>R30/[1]Negocio!AC14</f>
        <v>7.8722467275806382E-2</v>
      </c>
      <c r="S32" s="90">
        <f>S30/[1]Negocio!AE14</f>
        <v>5.2241118368941485E-2</v>
      </c>
      <c r="T32" s="91">
        <f>T30/[1]Negocio!AH14</f>
        <v>6.1631749260159061E-2</v>
      </c>
    </row>
    <row r="33" spans="2:20" ht="16">
      <c r="C33" s="11" t="s">
        <v>268</v>
      </c>
      <c r="D33" s="11" t="s">
        <v>25</v>
      </c>
      <c r="E33" s="183">
        <f>E22/E30</f>
        <v>0.73452839664305747</v>
      </c>
      <c r="F33" s="183">
        <f t="shared" ref="F33:H33" si="10">F22/F30</f>
        <v>0.69976282218416785</v>
      </c>
      <c r="G33" s="183">
        <f t="shared" si="10"/>
        <v>1.3082870162584397E-2</v>
      </c>
      <c r="H33" s="184">
        <f t="shared" si="10"/>
        <v>0.66788505646831897</v>
      </c>
      <c r="I33" s="183">
        <f>I22/I30</f>
        <v>0.74303841278675731</v>
      </c>
      <c r="J33" s="183">
        <f t="shared" ref="J33:T33" si="11">J22/J30</f>
        <v>0.71221994197725258</v>
      </c>
      <c r="K33" s="183">
        <f t="shared" si="11"/>
        <v>2.9897297473369996E-2</v>
      </c>
      <c r="L33" s="184">
        <f t="shared" si="11"/>
        <v>0.72166509526453448</v>
      </c>
      <c r="M33" s="183">
        <f t="shared" si="11"/>
        <v>0.74005214909832417</v>
      </c>
      <c r="N33" s="183">
        <f t="shared" si="11"/>
        <v>0.7436032364728774</v>
      </c>
      <c r="O33" s="183">
        <f t="shared" si="11"/>
        <v>0.72955220227409523</v>
      </c>
      <c r="P33" s="184">
        <f t="shared" si="11"/>
        <v>0.74075048180710223</v>
      </c>
      <c r="Q33" s="183">
        <f t="shared" si="11"/>
        <v>0.76333316792659611</v>
      </c>
      <c r="R33" s="183">
        <f t="shared" si="11"/>
        <v>0.72276032582689309</v>
      </c>
      <c r="S33" s="183">
        <f t="shared" si="11"/>
        <v>0.76041588132562821</v>
      </c>
      <c r="T33" s="184">
        <f t="shared" si="11"/>
        <v>0.74809707460466024</v>
      </c>
    </row>
    <row r="34" spans="2:20" ht="16" customHeight="1" thickBot="1">
      <c r="B34" s="27"/>
      <c r="C34" s="28"/>
      <c r="D34" s="28"/>
      <c r="E34" s="29"/>
      <c r="F34" s="29"/>
      <c r="G34" s="29"/>
      <c r="H34" s="29"/>
      <c r="I34" s="29"/>
      <c r="J34" s="29"/>
      <c r="K34" s="37"/>
      <c r="L34" s="29"/>
      <c r="M34" s="29"/>
      <c r="N34" s="29"/>
      <c r="O34" s="29"/>
      <c r="P34" s="30"/>
      <c r="Q34" s="29"/>
      <c r="R34" s="29"/>
      <c r="S34" s="29"/>
      <c r="T34" s="29"/>
    </row>
    <row r="35" spans="2:20">
      <c r="B35" s="10" t="s">
        <v>269</v>
      </c>
      <c r="C35" s="11"/>
      <c r="D35" s="11"/>
    </row>
    <row r="36" spans="2:20" ht="16">
      <c r="C36" s="11" t="s">
        <v>256</v>
      </c>
      <c r="D36" s="11" t="s">
        <v>67</v>
      </c>
      <c r="E36" s="117">
        <v>598.78503826676399</v>
      </c>
      <c r="F36" s="117">
        <v>10.44587211042643</v>
      </c>
      <c r="G36" s="117">
        <v>0</v>
      </c>
      <c r="H36" s="180">
        <f>SUM(E36:G36)</f>
        <v>609.23091037719041</v>
      </c>
      <c r="I36" s="117">
        <v>601.62746366889053</v>
      </c>
      <c r="J36" s="117">
        <v>10.226462604632571</v>
      </c>
      <c r="K36" s="117">
        <v>0.57904313183191358</v>
      </c>
      <c r="L36" s="180">
        <f>SUM(I36:K36)</f>
        <v>612.43296940535504</v>
      </c>
      <c r="M36" s="117">
        <v>683.58179146950738</v>
      </c>
      <c r="N36" s="117">
        <v>10.199293275154682</v>
      </c>
      <c r="O36" s="117">
        <v>6.0219845376014307</v>
      </c>
      <c r="P36" s="180">
        <f t="shared" ref="P36:P43" si="12">SUM(M36:O36)</f>
        <v>699.80306928226344</v>
      </c>
      <c r="Q36" s="117">
        <v>564.33396899579407</v>
      </c>
      <c r="R36" s="117">
        <v>9.4904366227679819</v>
      </c>
      <c r="S36" s="117">
        <v>3.0859991936462849</v>
      </c>
      <c r="T36" s="180">
        <f>SUM(Q36:S36)</f>
        <v>576.91040481220841</v>
      </c>
    </row>
    <row r="37" spans="2:20" ht="16">
      <c r="C37" s="11" t="s">
        <v>257</v>
      </c>
      <c r="D37" s="11" t="s">
        <v>67</v>
      </c>
      <c r="E37" s="117">
        <v>176.68420677324542</v>
      </c>
      <c r="F37" s="117">
        <v>173.39964044373355</v>
      </c>
      <c r="G37" s="117">
        <v>45.925366577833586</v>
      </c>
      <c r="H37" s="180">
        <f t="shared" ref="H37:H43" si="13">SUM(E37:G37)</f>
        <v>396.00921379481252</v>
      </c>
      <c r="I37" s="117">
        <v>195.44091191937977</v>
      </c>
      <c r="J37" s="117">
        <v>139.24657071678055</v>
      </c>
      <c r="K37" s="117">
        <v>13.152884166471161</v>
      </c>
      <c r="L37" s="180">
        <f t="shared" ref="L37:L43" si="14">SUM(I37:K37)</f>
        <v>347.84036680263148</v>
      </c>
      <c r="M37" s="117">
        <v>187.4880737530608</v>
      </c>
      <c r="N37" s="117">
        <v>126.06205600195742</v>
      </c>
      <c r="O37" s="117">
        <v>87.072110265411141</v>
      </c>
      <c r="P37" s="180">
        <f t="shared" si="12"/>
        <v>400.62224002042939</v>
      </c>
      <c r="Q37" s="117">
        <v>100.58875458354221</v>
      </c>
      <c r="R37" s="117">
        <v>145.37571990341368</v>
      </c>
      <c r="S37" s="117">
        <v>103.16601895748906</v>
      </c>
      <c r="T37" s="180">
        <f t="shared" ref="T37:T43" si="15">SUM(Q37:S37)</f>
        <v>349.13049344444494</v>
      </c>
    </row>
    <row r="38" spans="2:20" ht="16">
      <c r="C38" s="11" t="s">
        <v>258</v>
      </c>
      <c r="D38" s="11" t="s">
        <v>67</v>
      </c>
      <c r="E38" s="117">
        <v>417.89796327754476</v>
      </c>
      <c r="F38" s="117">
        <v>194.64035652929826</v>
      </c>
      <c r="G38" s="117">
        <v>1679.964623309645</v>
      </c>
      <c r="H38" s="180">
        <f t="shared" si="13"/>
        <v>2292.502943116488</v>
      </c>
      <c r="I38" s="117">
        <v>428.93701062196163</v>
      </c>
      <c r="J38" s="117">
        <v>0</v>
      </c>
      <c r="K38" s="117">
        <v>164.58238456191782</v>
      </c>
      <c r="L38" s="180">
        <f t="shared" si="14"/>
        <v>593.5193951838794</v>
      </c>
      <c r="M38" s="117">
        <v>3997.8985997800501</v>
      </c>
      <c r="N38" s="117">
        <v>0</v>
      </c>
      <c r="O38" s="117">
        <v>0</v>
      </c>
      <c r="P38" s="180">
        <f t="shared" si="12"/>
        <v>3997.8985997800501</v>
      </c>
      <c r="Q38" s="117">
        <v>278.07719528218354</v>
      </c>
      <c r="R38" s="117">
        <v>0</v>
      </c>
      <c r="S38" s="117">
        <v>0</v>
      </c>
      <c r="T38" s="180">
        <f t="shared" si="15"/>
        <v>278.07719528218354</v>
      </c>
    </row>
    <row r="39" spans="2:20" ht="16">
      <c r="C39" s="11" t="s">
        <v>259</v>
      </c>
      <c r="D39" s="11" t="s">
        <v>67</v>
      </c>
      <c r="E39" s="117">
        <v>2345.7218434484357</v>
      </c>
      <c r="F39" s="117">
        <v>3232.3399397504359</v>
      </c>
      <c r="G39" s="117">
        <v>0</v>
      </c>
      <c r="H39" s="180">
        <f t="shared" si="13"/>
        <v>5578.0617831988711</v>
      </c>
      <c r="I39" s="117">
        <v>2487.8567733699479</v>
      </c>
      <c r="J39" s="117">
        <v>3049.0646467866554</v>
      </c>
      <c r="K39" s="117">
        <v>0</v>
      </c>
      <c r="L39" s="180">
        <f t="shared" si="14"/>
        <v>5536.9214201566028</v>
      </c>
      <c r="M39" s="117">
        <v>0</v>
      </c>
      <c r="N39" s="117">
        <v>0</v>
      </c>
      <c r="O39" s="117">
        <v>0</v>
      </c>
      <c r="P39" s="180">
        <f t="shared" si="12"/>
        <v>0</v>
      </c>
      <c r="Q39" s="117">
        <v>1668.4688858624709</v>
      </c>
      <c r="R39" s="117">
        <v>0</v>
      </c>
      <c r="S39" s="117">
        <v>545.93174156232601</v>
      </c>
      <c r="T39" s="180">
        <f t="shared" si="15"/>
        <v>2214.4006274247968</v>
      </c>
    </row>
    <row r="40" spans="2:20" ht="16">
      <c r="C40" s="11" t="s">
        <v>260</v>
      </c>
      <c r="D40" s="11" t="s">
        <v>67</v>
      </c>
      <c r="E40" s="117">
        <v>3271.8611171069888</v>
      </c>
      <c r="F40" s="117">
        <v>0</v>
      </c>
      <c r="G40" s="117">
        <v>0</v>
      </c>
      <c r="H40" s="180">
        <f t="shared" si="13"/>
        <v>3271.8611171069888</v>
      </c>
      <c r="I40" s="117">
        <v>2306.4527123055486</v>
      </c>
      <c r="J40" s="117">
        <v>253.13807893596532</v>
      </c>
      <c r="K40" s="117">
        <v>0</v>
      </c>
      <c r="L40" s="180">
        <f t="shared" si="14"/>
        <v>2559.5907912415141</v>
      </c>
      <c r="M40" s="117">
        <v>0</v>
      </c>
      <c r="N40" s="117">
        <v>3156.6903929707091</v>
      </c>
      <c r="O40" s="117">
        <v>481.50356414034081</v>
      </c>
      <c r="P40" s="180">
        <f t="shared" si="12"/>
        <v>3638.1939571110497</v>
      </c>
      <c r="Q40" s="117">
        <v>906.88363265072871</v>
      </c>
      <c r="R40" s="117">
        <v>2825.6797927071657</v>
      </c>
      <c r="S40" s="117">
        <v>0</v>
      </c>
      <c r="T40" s="180">
        <f t="shared" si="15"/>
        <v>3732.5634253578946</v>
      </c>
    </row>
    <row r="41" spans="2:20" ht="16">
      <c r="C41" s="11" t="s">
        <v>261</v>
      </c>
      <c r="D41" s="11" t="s">
        <v>67</v>
      </c>
      <c r="E41" s="117">
        <v>200.12336624796444</v>
      </c>
      <c r="F41" s="117">
        <v>0</v>
      </c>
      <c r="G41" s="117">
        <v>1525.5829753064552</v>
      </c>
      <c r="H41" s="180">
        <f t="shared" si="13"/>
        <v>1725.7063415544196</v>
      </c>
      <c r="I41" s="117">
        <v>66.107887115134361</v>
      </c>
      <c r="J41" s="117">
        <v>0</v>
      </c>
      <c r="K41" s="117">
        <v>370.12798216008451</v>
      </c>
      <c r="L41" s="180">
        <f t="shared" si="14"/>
        <v>436.23586927521887</v>
      </c>
      <c r="M41" s="117">
        <v>0</v>
      </c>
      <c r="N41" s="117">
        <v>0</v>
      </c>
      <c r="O41" s="117">
        <v>0</v>
      </c>
      <c r="P41" s="180">
        <f t="shared" si="12"/>
        <v>0</v>
      </c>
      <c r="Q41" s="117">
        <v>0</v>
      </c>
      <c r="R41" s="117">
        <v>0</v>
      </c>
      <c r="S41" s="117">
        <v>0</v>
      </c>
      <c r="T41" s="180">
        <f t="shared" si="15"/>
        <v>0</v>
      </c>
    </row>
    <row r="42" spans="2:20" ht="16">
      <c r="C42" s="11" t="s">
        <v>262</v>
      </c>
      <c r="D42" s="11" t="s">
        <v>67</v>
      </c>
      <c r="E42" s="117">
        <v>77.52000000000001</v>
      </c>
      <c r="F42" s="117">
        <v>147.06496000000001</v>
      </c>
      <c r="G42" s="117">
        <v>0</v>
      </c>
      <c r="H42" s="180">
        <f t="shared" si="13"/>
        <v>224.58496000000002</v>
      </c>
      <c r="I42" s="117">
        <v>125.97000000000001</v>
      </c>
      <c r="J42" s="117">
        <v>207.29137000000003</v>
      </c>
      <c r="K42" s="117">
        <v>6.8850000000000008E-2</v>
      </c>
      <c r="L42" s="180">
        <f t="shared" si="14"/>
        <v>333.33022000000005</v>
      </c>
      <c r="M42" s="117">
        <v>128.69</v>
      </c>
      <c r="N42" s="117">
        <v>207.02090000000001</v>
      </c>
      <c r="O42" s="117">
        <v>20.7485</v>
      </c>
      <c r="P42" s="180">
        <f t="shared" si="12"/>
        <v>356.45940000000002</v>
      </c>
      <c r="Q42" s="117">
        <v>130.87161</v>
      </c>
      <c r="R42" s="117">
        <v>174.62128000000001</v>
      </c>
      <c r="S42" s="117">
        <v>32.149720000000002</v>
      </c>
      <c r="T42" s="180">
        <f t="shared" si="15"/>
        <v>337.64260999999999</v>
      </c>
    </row>
    <row r="43" spans="2:20" ht="16">
      <c r="C43" s="11" t="s">
        <v>270</v>
      </c>
      <c r="D43" s="11" t="s">
        <v>67</v>
      </c>
      <c r="E43" s="117">
        <v>8.1999999999999993</v>
      </c>
      <c r="F43" s="117"/>
      <c r="G43" s="117">
        <v>0.99450000000000005</v>
      </c>
      <c r="H43" s="180">
        <f t="shared" si="13"/>
        <v>9.1944999999999997</v>
      </c>
      <c r="I43" s="117">
        <v>7.81</v>
      </c>
      <c r="J43" s="117">
        <v>0</v>
      </c>
      <c r="K43" s="117">
        <v>0</v>
      </c>
      <c r="L43" s="180">
        <f t="shared" si="14"/>
        <v>7.81</v>
      </c>
      <c r="M43" s="117">
        <v>48</v>
      </c>
      <c r="N43" s="117">
        <v>0</v>
      </c>
      <c r="O43" s="117">
        <v>0</v>
      </c>
      <c r="P43" s="180">
        <f t="shared" si="12"/>
        <v>48</v>
      </c>
      <c r="Q43" s="117">
        <v>24</v>
      </c>
      <c r="R43" s="117">
        <v>0</v>
      </c>
      <c r="S43" s="117">
        <v>0</v>
      </c>
      <c r="T43" s="180">
        <f t="shared" si="15"/>
        <v>24</v>
      </c>
    </row>
    <row r="44" spans="2:20" s="15" customFormat="1" ht="16">
      <c r="C44" s="16" t="s">
        <v>271</v>
      </c>
      <c r="D44" s="11" t="s">
        <v>67</v>
      </c>
      <c r="E44" s="120">
        <f>SUM(E36:E43)</f>
        <v>7096.7935351209435</v>
      </c>
      <c r="F44" s="120">
        <f t="shared" ref="F44:H44" si="16">SUM(F36:F43)</f>
        <v>3757.8907688338941</v>
      </c>
      <c r="G44" s="120">
        <f t="shared" si="16"/>
        <v>3252.4674651939335</v>
      </c>
      <c r="H44" s="121">
        <f t="shared" si="16"/>
        <v>14107.151769148772</v>
      </c>
      <c r="I44" s="120">
        <f>SUM(I36:I43)</f>
        <v>6220.2027590008629</v>
      </c>
      <c r="J44" s="120">
        <f t="shared" ref="J44:T44" si="17">SUM(J36:J43)</f>
        <v>3658.9671290440338</v>
      </c>
      <c r="K44" s="120">
        <f t="shared" si="17"/>
        <v>548.51114402030544</v>
      </c>
      <c r="L44" s="121">
        <f t="shared" si="17"/>
        <v>10427.6810320652</v>
      </c>
      <c r="M44" s="120">
        <f t="shared" si="17"/>
        <v>5045.658465002618</v>
      </c>
      <c r="N44" s="120">
        <f t="shared" si="17"/>
        <v>3499.9726422478211</v>
      </c>
      <c r="O44" s="120">
        <f t="shared" si="17"/>
        <v>595.34615894335343</v>
      </c>
      <c r="P44" s="121">
        <f t="shared" si="17"/>
        <v>9140.9772661937932</v>
      </c>
      <c r="Q44" s="120">
        <f t="shared" si="17"/>
        <v>3673.2240473747197</v>
      </c>
      <c r="R44" s="120">
        <f t="shared" si="17"/>
        <v>3155.1672292333474</v>
      </c>
      <c r="S44" s="120">
        <f t="shared" si="17"/>
        <v>684.33347971346132</v>
      </c>
      <c r="T44" s="121">
        <f t="shared" si="17"/>
        <v>7512.7247563215287</v>
      </c>
    </row>
    <row r="45" spans="2:20" ht="16">
      <c r="C45" s="11" t="s">
        <v>255</v>
      </c>
      <c r="D45" s="11" t="s">
        <v>67</v>
      </c>
      <c r="E45" s="117">
        <v>31366.875059999998</v>
      </c>
      <c r="F45" s="117">
        <v>14625.261504</v>
      </c>
      <c r="G45" s="117">
        <v>70</v>
      </c>
      <c r="H45" s="180">
        <f>SUM(E45:G45)</f>
        <v>46062.136564</v>
      </c>
      <c r="I45" s="117">
        <v>29019</v>
      </c>
      <c r="J45" s="117">
        <v>15128.208149999999</v>
      </c>
      <c r="K45" s="117">
        <v>27.405000000000001</v>
      </c>
      <c r="L45" s="180">
        <f>SUM(I45:K45)</f>
        <v>44174.613149999997</v>
      </c>
      <c r="M45" s="117">
        <v>23277.139676999999</v>
      </c>
      <c r="N45" s="117">
        <v>15461.990909999999</v>
      </c>
      <c r="O45" s="117">
        <v>2433.5189999999998</v>
      </c>
      <c r="P45" s="180">
        <f>SUM(M45:O45)</f>
        <v>41172.649587</v>
      </c>
      <c r="Q45" s="117">
        <v>22292.051340000002</v>
      </c>
      <c r="R45" s="117">
        <v>14603.003584</v>
      </c>
      <c r="S45" s="117">
        <v>4133.7920000000004</v>
      </c>
      <c r="T45" s="180">
        <f>SUM(Q45:S45)</f>
        <v>41028.846924000005</v>
      </c>
    </row>
    <row r="46" spans="2:20" s="15" customFormat="1" ht="16">
      <c r="C46" s="16" t="s">
        <v>272</v>
      </c>
      <c r="D46" s="11" t="s">
        <v>67</v>
      </c>
      <c r="E46" s="120">
        <f>E45</f>
        <v>31366.875059999998</v>
      </c>
      <c r="F46" s="120">
        <f t="shared" ref="F46:H46" si="18">F45</f>
        <v>14625.261504</v>
      </c>
      <c r="G46" s="120">
        <f t="shared" si="18"/>
        <v>70</v>
      </c>
      <c r="H46" s="121">
        <f t="shared" si="18"/>
        <v>46062.136564</v>
      </c>
      <c r="I46" s="120">
        <f>I45</f>
        <v>29019</v>
      </c>
      <c r="J46" s="120">
        <f t="shared" ref="J46:T46" si="19">J45</f>
        <v>15128.208149999999</v>
      </c>
      <c r="K46" s="120">
        <f t="shared" si="19"/>
        <v>27.405000000000001</v>
      </c>
      <c r="L46" s="121">
        <f t="shared" si="19"/>
        <v>44174.613149999997</v>
      </c>
      <c r="M46" s="120">
        <f t="shared" si="19"/>
        <v>23277.139676999999</v>
      </c>
      <c r="N46" s="120">
        <f t="shared" si="19"/>
        <v>15461.990909999999</v>
      </c>
      <c r="O46" s="120">
        <f t="shared" si="19"/>
        <v>2433.5189999999998</v>
      </c>
      <c r="P46" s="121">
        <f t="shared" si="19"/>
        <v>41172.649587</v>
      </c>
      <c r="Q46" s="120">
        <f t="shared" si="19"/>
        <v>22292.051340000002</v>
      </c>
      <c r="R46" s="120">
        <f t="shared" si="19"/>
        <v>14603.003584</v>
      </c>
      <c r="S46" s="120">
        <f t="shared" si="19"/>
        <v>4133.7920000000004</v>
      </c>
      <c r="T46" s="121">
        <f t="shared" si="19"/>
        <v>41028.846924000005</v>
      </c>
    </row>
    <row r="47" spans="2:20" s="15" customFormat="1" ht="16">
      <c r="C47" s="16" t="s">
        <v>273</v>
      </c>
      <c r="D47" s="11" t="s">
        <v>67</v>
      </c>
      <c r="E47" s="120">
        <f t="shared" ref="E47:T47" si="20">+E46+E44</f>
        <v>38463.668595120944</v>
      </c>
      <c r="F47" s="120">
        <f t="shared" si="20"/>
        <v>18383.152272833893</v>
      </c>
      <c r="G47" s="120">
        <f t="shared" si="20"/>
        <v>3322.4674651939335</v>
      </c>
      <c r="H47" s="121">
        <f t="shared" si="20"/>
        <v>60169.288333148768</v>
      </c>
      <c r="I47" s="120">
        <f t="shared" si="20"/>
        <v>35239.202759000866</v>
      </c>
      <c r="J47" s="120">
        <f t="shared" si="20"/>
        <v>18787.175279044033</v>
      </c>
      <c r="K47" s="120">
        <f t="shared" si="20"/>
        <v>575.91614402030541</v>
      </c>
      <c r="L47" s="121">
        <f t="shared" si="20"/>
        <v>54602.294182065198</v>
      </c>
      <c r="M47" s="120">
        <f t="shared" si="20"/>
        <v>28322.798142002619</v>
      </c>
      <c r="N47" s="120">
        <f t="shared" si="20"/>
        <v>18961.96355224782</v>
      </c>
      <c r="O47" s="120">
        <f t="shared" si="20"/>
        <v>3028.865158943353</v>
      </c>
      <c r="P47" s="121">
        <f t="shared" si="20"/>
        <v>50313.626853193797</v>
      </c>
      <c r="Q47" s="120">
        <f t="shared" si="20"/>
        <v>25965.275387374721</v>
      </c>
      <c r="R47" s="120">
        <f t="shared" si="20"/>
        <v>17758.170813233348</v>
      </c>
      <c r="S47" s="120">
        <f t="shared" si="20"/>
        <v>4818.1254797134616</v>
      </c>
      <c r="T47" s="121">
        <f t="shared" si="20"/>
        <v>48541.571680321533</v>
      </c>
    </row>
    <row r="48" spans="2:20" ht="32">
      <c r="C48" s="11" t="s">
        <v>274</v>
      </c>
      <c r="D48" s="11" t="s">
        <v>68</v>
      </c>
      <c r="E48" s="90">
        <f>(E47)/[1]Negocio!D11</f>
        <v>8.874681558325033E-2</v>
      </c>
      <c r="F48" s="90">
        <f>(F47)/[1]Negocio!E11</f>
        <v>4.1687704854569088E-2</v>
      </c>
      <c r="G48" s="90" t="s">
        <v>16</v>
      </c>
      <c r="H48" s="91">
        <f>(H47)/[1]Negocio!K11</f>
        <v>6.881350294625091E-2</v>
      </c>
      <c r="I48" s="90">
        <f>(I47)/[1]Negocio!L11</f>
        <v>8.5469188337220114E-2</v>
      </c>
      <c r="J48" s="90">
        <f>(J47)/[1]Negocio!M11</f>
        <v>4.449417339242475E-2</v>
      </c>
      <c r="K48" s="90" t="s">
        <v>16</v>
      </c>
      <c r="L48" s="91">
        <f>(L47)/[1]Negocio!S11</f>
        <v>6.542785645547522E-2</v>
      </c>
      <c r="M48" s="90">
        <f>(M47)/[1]Negocio!T11</f>
        <v>6.8353943217778518E-2</v>
      </c>
      <c r="N48" s="90">
        <f>(N47)/[1]Negocio!U11</f>
        <v>4.5307835705013025E-2</v>
      </c>
      <c r="O48" s="90">
        <f>(O47)/[1]Negocio!W11</f>
        <v>5.5519478671860564E-2</v>
      </c>
      <c r="P48" s="91">
        <f>P47/[1]Negocio!AA11</f>
        <v>5.6696265655643521E-2</v>
      </c>
      <c r="Q48" s="90">
        <f>(Q47)/[1]Negocio!AB11</f>
        <v>7.489716823740325E-2</v>
      </c>
      <c r="R48" s="90">
        <f>(R47)/[1]Negocio!AC11</f>
        <v>5.3621874945597628E-2</v>
      </c>
      <c r="S48" s="90">
        <f>(S47)/[1]Negocio!AE11</f>
        <v>6.0752839972681626E-2</v>
      </c>
      <c r="T48" s="91">
        <f>T47/[1]Negocio!AH11</f>
        <v>6.4110058217974442E-2</v>
      </c>
    </row>
    <row r="49" spans="2:22" ht="32">
      <c r="C49" s="11" t="s">
        <v>275</v>
      </c>
      <c r="D49" s="11" t="s">
        <v>69</v>
      </c>
      <c r="E49" s="90">
        <f>(E47)/[1]Negocio!D14</f>
        <v>6.1037582131628562E-3</v>
      </c>
      <c r="F49" s="90">
        <f>(F47)/[1]Negocio!E14</f>
        <v>7.6605852020347051E-3</v>
      </c>
      <c r="G49" s="90" t="s">
        <v>16</v>
      </c>
      <c r="H49" s="91">
        <f>(H47)/[1]Negocio!K14</f>
        <v>6.9149427086311584E-3</v>
      </c>
      <c r="I49" s="90">
        <f>(I47)/[1]Negocio!L14</f>
        <v>5.3397966071826834E-3</v>
      </c>
      <c r="J49" s="90">
        <f>(J47)/[1]Negocio!M14</f>
        <v>7.9340011786841989E-3</v>
      </c>
      <c r="K49" s="90" t="s">
        <v>16</v>
      </c>
      <c r="L49" s="91">
        <f>(L47)/[1]Negocio!S14</f>
        <v>6.089055291770608E-3</v>
      </c>
      <c r="M49" s="90">
        <f>(M47)/[1]Negocio!T14</f>
        <v>5.2460050195164004E-3</v>
      </c>
      <c r="N49" s="90">
        <f>(N47)/[1]Negocio!U14</f>
        <v>7.6969390593202959E-3</v>
      </c>
      <c r="O49" s="90">
        <f>(O47)/[1]Negocio!W14</f>
        <v>7.7813249109651254E-3</v>
      </c>
      <c r="P49" s="91">
        <f>P47/[1]Negocio!AA14</f>
        <v>6.0973302808718923E-3</v>
      </c>
      <c r="Q49" s="90">
        <f>(Q47)/[1]Negocio!AB14</f>
        <v>6.7333927323111826E-3</v>
      </c>
      <c r="R49" s="90">
        <f>(R47)/[1]Negocio!AC14</f>
        <v>9.4945303590186197E-3</v>
      </c>
      <c r="S49" s="90">
        <f>(S47)/[1]Negocio!AE14</f>
        <v>6.3535664756076632E-3</v>
      </c>
      <c r="T49" s="91">
        <f>T47/[1]Negocio!AH14</f>
        <v>7.4853380915228798E-3</v>
      </c>
    </row>
    <row r="50" spans="2:22" s="15" customFormat="1" ht="16">
      <c r="C50" s="11" t="s">
        <v>276</v>
      </c>
      <c r="D50" s="11" t="s">
        <v>67</v>
      </c>
      <c r="E50" s="185">
        <v>8871.36</v>
      </c>
      <c r="F50" s="185">
        <v>4549.3</v>
      </c>
      <c r="G50" s="186" t="s">
        <v>70</v>
      </c>
      <c r="H50" s="180">
        <f>SUM(E50:G50)</f>
        <v>13420.66</v>
      </c>
      <c r="I50" s="120"/>
      <c r="J50" s="120"/>
      <c r="K50" s="120"/>
      <c r="L50" s="121"/>
      <c r="M50" s="120"/>
      <c r="N50" s="120"/>
      <c r="O50" s="120"/>
      <c r="P50" s="121"/>
      <c r="Q50" s="120"/>
      <c r="R50" s="120"/>
      <c r="S50" s="120"/>
      <c r="T50" s="121"/>
    </row>
    <row r="51" spans="2:22" s="15" customFormat="1" ht="16">
      <c r="C51" s="11" t="s">
        <v>277</v>
      </c>
      <c r="D51" s="11" t="s">
        <v>67</v>
      </c>
      <c r="E51" s="185">
        <v>5834.16</v>
      </c>
      <c r="F51" s="185">
        <v>2851.58</v>
      </c>
      <c r="G51" s="186"/>
      <c r="H51" s="180">
        <f t="shared" ref="H51:H55" si="21">SUM(E51:G51)</f>
        <v>8685.74</v>
      </c>
      <c r="I51" s="120"/>
      <c r="J51" s="120"/>
      <c r="K51" s="120"/>
      <c r="L51" s="121"/>
      <c r="M51" s="120"/>
      <c r="N51" s="120"/>
      <c r="O51" s="120"/>
      <c r="P51" s="121"/>
      <c r="Q51" s="120"/>
      <c r="R51" s="120"/>
      <c r="S51" s="120"/>
      <c r="T51" s="121"/>
    </row>
    <row r="52" spans="2:22" s="15" customFormat="1" ht="16">
      <c r="C52" s="11" t="s">
        <v>279</v>
      </c>
      <c r="D52" s="11" t="s">
        <v>67</v>
      </c>
      <c r="E52" s="185">
        <v>567.88</v>
      </c>
      <c r="F52" s="185">
        <v>171.39</v>
      </c>
      <c r="G52" s="186"/>
      <c r="H52" s="180">
        <f t="shared" si="21"/>
        <v>739.27</v>
      </c>
      <c r="I52" s="120"/>
      <c r="J52" s="120"/>
      <c r="K52" s="120"/>
      <c r="L52" s="121"/>
      <c r="M52" s="120"/>
      <c r="N52" s="120"/>
      <c r="O52" s="120"/>
      <c r="P52" s="121"/>
      <c r="Q52" s="120"/>
      <c r="R52" s="120"/>
      <c r="S52" s="120"/>
      <c r="T52" s="121"/>
    </row>
    <row r="53" spans="2:22" s="15" customFormat="1" ht="16">
      <c r="C53" s="11" t="s">
        <v>278</v>
      </c>
      <c r="D53" s="11" t="s">
        <v>67</v>
      </c>
      <c r="E53" s="185">
        <v>178.84</v>
      </c>
      <c r="F53" s="185">
        <v>96.88</v>
      </c>
      <c r="G53" s="186"/>
      <c r="H53" s="180">
        <f t="shared" si="21"/>
        <v>275.72000000000003</v>
      </c>
      <c r="I53" s="120"/>
      <c r="J53" s="120"/>
      <c r="K53" s="120"/>
      <c r="L53" s="121"/>
      <c r="M53" s="120"/>
      <c r="N53" s="120"/>
      <c r="O53" s="120"/>
      <c r="P53" s="121"/>
      <c r="Q53" s="120"/>
      <c r="R53" s="120"/>
      <c r="S53" s="120"/>
      <c r="T53" s="121"/>
    </row>
    <row r="54" spans="2:22" s="15" customFormat="1" ht="16">
      <c r="C54" s="11" t="s">
        <v>280</v>
      </c>
      <c r="D54" s="11" t="s">
        <v>67</v>
      </c>
      <c r="E54" s="185">
        <v>164.5</v>
      </c>
      <c r="F54" s="185">
        <v>119.66</v>
      </c>
      <c r="G54" s="186"/>
      <c r="H54" s="180">
        <f t="shared" si="21"/>
        <v>284.15999999999997</v>
      </c>
      <c r="I54" s="120"/>
      <c r="J54" s="120"/>
      <c r="K54" s="120"/>
      <c r="L54" s="121"/>
      <c r="M54" s="120"/>
      <c r="N54" s="120"/>
      <c r="O54" s="120"/>
      <c r="P54" s="121"/>
      <c r="Q54" s="120"/>
      <c r="R54" s="120"/>
      <c r="S54" s="120"/>
      <c r="T54" s="121"/>
    </row>
    <row r="55" spans="2:22" s="15" customFormat="1" ht="16">
      <c r="C55" s="11" t="s">
        <v>281</v>
      </c>
      <c r="D55" s="11" t="s">
        <v>67</v>
      </c>
      <c r="E55" s="185">
        <v>9.44</v>
      </c>
      <c r="F55" s="185">
        <v>509.73</v>
      </c>
      <c r="G55" s="186"/>
      <c r="H55" s="180">
        <f t="shared" si="21"/>
        <v>519.17000000000007</v>
      </c>
      <c r="I55" s="120"/>
      <c r="J55" s="120"/>
      <c r="K55" s="120"/>
      <c r="L55" s="121"/>
      <c r="M55" s="120"/>
      <c r="N55" s="120"/>
      <c r="O55" s="120"/>
      <c r="P55" s="121"/>
      <c r="Q55" s="120"/>
      <c r="R55" s="120"/>
      <c r="S55" s="120"/>
      <c r="T55" s="121"/>
    </row>
    <row r="56" spans="2:22" s="15" customFormat="1" ht="16">
      <c r="C56" s="16" t="s">
        <v>282</v>
      </c>
      <c r="D56" s="11" t="s">
        <v>67</v>
      </c>
      <c r="E56" s="187">
        <f>SUM(E50:E55)</f>
        <v>15626.18</v>
      </c>
      <c r="F56" s="187">
        <f>SUM(F50:F55)</f>
        <v>8298.5400000000009</v>
      </c>
      <c r="G56" s="187">
        <f>SUM(G50:G55)</f>
        <v>0</v>
      </c>
      <c r="H56" s="188">
        <f>SUM(H50:H55)</f>
        <v>23924.720000000001</v>
      </c>
      <c r="I56" s="120"/>
      <c r="J56" s="120"/>
      <c r="K56" s="120"/>
      <c r="L56" s="121"/>
      <c r="M56" s="120"/>
      <c r="N56" s="120"/>
      <c r="O56" s="120"/>
      <c r="P56" s="121"/>
      <c r="Q56" s="120"/>
      <c r="R56" s="120"/>
      <c r="S56" s="120"/>
      <c r="T56" s="121"/>
    </row>
    <row r="57" spans="2:22" s="15" customFormat="1" ht="16">
      <c r="C57" s="16" t="s">
        <v>283</v>
      </c>
      <c r="D57" s="11" t="s">
        <v>67</v>
      </c>
      <c r="E57" s="120">
        <f>+E44+E46+E56</f>
        <v>54089.848595120944</v>
      </c>
      <c r="F57" s="120">
        <f>+F44+F46+F56</f>
        <v>26681.692272833894</v>
      </c>
      <c r="G57" s="120">
        <f>+G44+G46+G56</f>
        <v>3322.4674651939335</v>
      </c>
      <c r="H57" s="121">
        <f>+H44+H46+H56</f>
        <v>84094.008333148769</v>
      </c>
      <c r="I57" s="120">
        <f t="shared" ref="I57:T57" si="22">I46+I44</f>
        <v>35239.202759000866</v>
      </c>
      <c r="J57" s="120">
        <f t="shared" si="22"/>
        <v>18787.175279044033</v>
      </c>
      <c r="K57" s="120">
        <f t="shared" si="22"/>
        <v>575.91614402030541</v>
      </c>
      <c r="L57" s="121">
        <f t="shared" si="22"/>
        <v>54602.294182065198</v>
      </c>
      <c r="M57" s="120">
        <f t="shared" si="22"/>
        <v>28322.798142002619</v>
      </c>
      <c r="N57" s="120">
        <f t="shared" si="22"/>
        <v>18961.96355224782</v>
      </c>
      <c r="O57" s="120">
        <f t="shared" si="22"/>
        <v>3028.865158943353</v>
      </c>
      <c r="P57" s="121">
        <f t="shared" si="22"/>
        <v>50313.626853193797</v>
      </c>
      <c r="Q57" s="120">
        <f t="shared" si="22"/>
        <v>25965.275387374721</v>
      </c>
      <c r="R57" s="120">
        <f t="shared" si="22"/>
        <v>17758.170813233348</v>
      </c>
      <c r="S57" s="120">
        <f t="shared" si="22"/>
        <v>4818.1254797134616</v>
      </c>
      <c r="T57" s="121">
        <f t="shared" si="22"/>
        <v>48541.571680321533</v>
      </c>
    </row>
    <row r="58" spans="2:22" ht="32">
      <c r="C58" s="11" t="s">
        <v>284</v>
      </c>
      <c r="D58" s="11" t="s">
        <v>68</v>
      </c>
      <c r="E58" s="90">
        <f>E57/[1]Negocio!D11</f>
        <v>0.12480093536387325</v>
      </c>
      <c r="F58" s="90">
        <f>F57/[1]Negocio!E11</f>
        <v>6.0506408040478431E-2</v>
      </c>
      <c r="G58" s="181" t="s">
        <v>17</v>
      </c>
      <c r="H58" s="91">
        <f>H57/[1]Negocio!K11</f>
        <v>9.6175365381662437E-2</v>
      </c>
      <c r="I58" s="90">
        <f>I57/[1]Negocio!L11</f>
        <v>8.5469188337220114E-2</v>
      </c>
      <c r="J58" s="90">
        <f>J57/[1]Negocio!M11</f>
        <v>4.449417339242475E-2</v>
      </c>
      <c r="K58" s="181" t="s">
        <v>17</v>
      </c>
      <c r="L58" s="91">
        <f>L57/[1]Negocio!S11</f>
        <v>6.542785645547522E-2</v>
      </c>
      <c r="M58" s="90">
        <f>M57/[1]Negocio!T11</f>
        <v>6.8353943217778518E-2</v>
      </c>
      <c r="N58" s="90">
        <f>N57/[1]Negocio!U11</f>
        <v>4.5307835705013025E-2</v>
      </c>
      <c r="O58" s="90">
        <f>O57/[1]Negocio!W11</f>
        <v>5.5519478671860564E-2</v>
      </c>
      <c r="P58" s="91">
        <f>P57/[1]Negocio!AA11</f>
        <v>5.6696265655643521E-2</v>
      </c>
      <c r="Q58" s="90">
        <f>Q57/[1]Negocio!AB11</f>
        <v>7.489716823740325E-2</v>
      </c>
      <c r="R58" s="83">
        <f>R57/[1]Negocio!AC11</f>
        <v>5.3621874945597628E-2</v>
      </c>
      <c r="S58" s="90">
        <f>S57/[1]Negocio!AE11</f>
        <v>6.0752839972681626E-2</v>
      </c>
      <c r="T58" s="91">
        <f>T57/[1]Negocio!AH11</f>
        <v>6.4110058217974442E-2</v>
      </c>
    </row>
    <row r="59" spans="2:22" ht="32">
      <c r="C59" s="11" t="s">
        <v>285</v>
      </c>
      <c r="D59" s="11" t="s">
        <v>69</v>
      </c>
      <c r="E59" s="189">
        <f>E57/[1]Negocio!D14</f>
        <v>8.5834599160695777E-3</v>
      </c>
      <c r="F59" s="189">
        <f>F57/[1]Negocio!E14</f>
        <v>1.1118733825241048E-2</v>
      </c>
      <c r="G59" s="190" t="s">
        <v>17</v>
      </c>
      <c r="H59" s="191">
        <f>H57/[1]Negocio!K14</f>
        <v>9.6644860837170506E-3</v>
      </c>
      <c r="I59" s="90">
        <f>I57/[1]Negocio!L14</f>
        <v>5.3397966071826834E-3</v>
      </c>
      <c r="J59" s="90">
        <f>J57/[1]Negocio!M14</f>
        <v>7.9340011786841989E-3</v>
      </c>
      <c r="K59" s="181" t="s">
        <v>17</v>
      </c>
      <c r="L59" s="91">
        <f>L57/[1]Negocio!S14</f>
        <v>6.089055291770608E-3</v>
      </c>
      <c r="M59" s="90">
        <f>M57/[1]Negocio!T14</f>
        <v>5.2460050195164004E-3</v>
      </c>
      <c r="N59" s="90">
        <f>N57/[1]Negocio!U14</f>
        <v>7.6969390593202959E-3</v>
      </c>
      <c r="O59" s="90">
        <f>O57/[1]Negocio!W14</f>
        <v>7.7813249109651254E-3</v>
      </c>
      <c r="P59" s="91">
        <f>P57/[1]Negocio!AA14</f>
        <v>6.0973302808718923E-3</v>
      </c>
      <c r="Q59" s="90">
        <f>Q57/[1]Negocio!AB14</f>
        <v>6.7333927323111826E-3</v>
      </c>
      <c r="R59" s="90">
        <f>R57/[1]Negocio!AC14</f>
        <v>9.4945303590186197E-3</v>
      </c>
      <c r="S59" s="90">
        <f>S57/[1]Negocio!AE14</f>
        <v>6.3535664756076632E-3</v>
      </c>
      <c r="T59" s="91">
        <f>T57/[1]Negocio!AH14</f>
        <v>7.4853380915228798E-3</v>
      </c>
    </row>
    <row r="60" spans="2:22" ht="16" customHeight="1" thickBot="1">
      <c r="B60" s="192"/>
      <c r="C60" s="28"/>
      <c r="D60" s="28"/>
      <c r="E60" s="27"/>
      <c r="F60" s="27"/>
      <c r="G60" s="27"/>
      <c r="H60" s="27"/>
      <c r="I60" s="27"/>
      <c r="J60" s="27"/>
      <c r="K60" s="27"/>
      <c r="L60" s="27"/>
      <c r="M60" s="27"/>
      <c r="N60" s="27"/>
      <c r="O60" s="27"/>
      <c r="P60" s="29"/>
      <c r="Q60" s="27"/>
      <c r="R60" s="29"/>
      <c r="S60" s="29"/>
      <c r="T60" s="29"/>
      <c r="U60" s="22"/>
      <c r="V60" s="22"/>
    </row>
    <row r="61" spans="2:22" ht="16" customHeight="1">
      <c r="B61" s="26"/>
      <c r="C61" s="11"/>
      <c r="D61" s="11"/>
      <c r="P61" s="22"/>
      <c r="R61" s="22"/>
      <c r="S61" s="22"/>
      <c r="T61" s="22"/>
      <c r="U61" s="22"/>
      <c r="V61" s="22"/>
    </row>
    <row r="62" spans="2:22">
      <c r="B62" s="10" t="s">
        <v>286</v>
      </c>
      <c r="C62" s="11"/>
      <c r="D62" s="11"/>
    </row>
    <row r="63" spans="2:22" ht="16">
      <c r="C63" s="11" t="s">
        <v>287</v>
      </c>
      <c r="D63" s="11" t="s">
        <v>21</v>
      </c>
      <c r="E63" s="14">
        <v>3454.851703500131</v>
      </c>
      <c r="F63" s="14">
        <v>1025.8337779055619</v>
      </c>
      <c r="G63" s="181" t="s">
        <v>17</v>
      </c>
      <c r="H63" s="180">
        <f t="shared" ref="H63:H68" si="23">SUM(E63:G63)</f>
        <v>4480.6854814056933</v>
      </c>
      <c r="I63" s="12">
        <v>3626.1574739602756</v>
      </c>
      <c r="J63" s="12">
        <v>824.22835834975001</v>
      </c>
      <c r="K63" s="181" t="s">
        <v>17</v>
      </c>
      <c r="L63" s="180">
        <f t="shared" ref="L63:L68" si="24">SUM(I63:K63)</f>
        <v>4450.3858323100258</v>
      </c>
      <c r="N63" s="12"/>
      <c r="O63" s="12"/>
      <c r="P63" s="194" t="s">
        <v>58</v>
      </c>
      <c r="Q63" s="12"/>
      <c r="S63" s="193"/>
      <c r="T63" s="194" t="s">
        <v>58</v>
      </c>
    </row>
    <row r="64" spans="2:22" ht="16">
      <c r="C64" s="11" t="s">
        <v>288</v>
      </c>
      <c r="D64" s="11" t="s">
        <v>21</v>
      </c>
      <c r="E64" s="14">
        <v>13110.8000734876</v>
      </c>
      <c r="F64" s="14">
        <v>1699.9453154243533</v>
      </c>
      <c r="G64" s="181" t="s">
        <v>17</v>
      </c>
      <c r="H64" s="180">
        <f t="shared" si="23"/>
        <v>14810.745388911953</v>
      </c>
      <c r="I64" s="12">
        <v>13575.328488335639</v>
      </c>
      <c r="J64" s="12">
        <v>1367.7763504819791</v>
      </c>
      <c r="K64" s="181" t="s">
        <v>17</v>
      </c>
      <c r="L64" s="180">
        <f t="shared" si="24"/>
        <v>14943.104838817619</v>
      </c>
      <c r="N64" s="12"/>
      <c r="O64" s="12"/>
      <c r="P64" s="194"/>
      <c r="Q64" s="12"/>
      <c r="S64" s="193"/>
      <c r="T64" s="194"/>
    </row>
    <row r="65" spans="2:22" ht="16">
      <c r="C65" s="11" t="s">
        <v>289</v>
      </c>
      <c r="D65" s="11" t="s">
        <v>21</v>
      </c>
      <c r="E65" s="14">
        <v>0</v>
      </c>
      <c r="F65" s="14">
        <v>0</v>
      </c>
      <c r="G65" s="181" t="s">
        <v>17</v>
      </c>
      <c r="H65" s="180">
        <f t="shared" si="23"/>
        <v>0</v>
      </c>
      <c r="I65" s="12">
        <v>0</v>
      </c>
      <c r="J65" s="12">
        <v>0</v>
      </c>
      <c r="K65" s="181" t="s">
        <v>17</v>
      </c>
      <c r="L65" s="180">
        <f t="shared" si="24"/>
        <v>0</v>
      </c>
      <c r="N65" s="12"/>
      <c r="O65" s="12"/>
      <c r="P65" s="194"/>
      <c r="Q65" s="12"/>
      <c r="S65" s="193"/>
      <c r="T65" s="194"/>
    </row>
    <row r="66" spans="2:22" ht="16">
      <c r="C66" s="11" t="s">
        <v>290</v>
      </c>
      <c r="D66" s="11" t="s">
        <v>21</v>
      </c>
      <c r="E66" s="14">
        <v>25.407704769999999</v>
      </c>
      <c r="F66" s="14">
        <v>0.44331700000000007</v>
      </c>
      <c r="G66" s="181" t="s">
        <v>17</v>
      </c>
      <c r="H66" s="180">
        <f t="shared" si="23"/>
        <v>25.851021769999999</v>
      </c>
      <c r="I66" s="12">
        <v>25.528300000000002</v>
      </c>
      <c r="J66" s="12">
        <v>0.43390899999999999</v>
      </c>
      <c r="K66" s="181" t="s">
        <v>17</v>
      </c>
      <c r="L66" s="180">
        <f t="shared" si="24"/>
        <v>25.962209000000001</v>
      </c>
      <c r="N66" s="12"/>
      <c r="O66" s="12"/>
      <c r="P66" s="194"/>
      <c r="Q66" s="12"/>
      <c r="S66" s="193"/>
      <c r="T66" s="194"/>
    </row>
    <row r="67" spans="2:22" ht="16">
      <c r="C67" s="11" t="s">
        <v>291</v>
      </c>
      <c r="D67" s="11" t="s">
        <v>21</v>
      </c>
      <c r="E67" s="14">
        <v>1.97422752E-4</v>
      </c>
      <c r="F67" s="14">
        <v>0</v>
      </c>
      <c r="G67" s="181" t="s">
        <v>17</v>
      </c>
      <c r="H67" s="180">
        <f t="shared" si="23"/>
        <v>1.97422752E-4</v>
      </c>
      <c r="I67" s="12">
        <v>2.05175004E-4</v>
      </c>
      <c r="J67" s="12">
        <v>0</v>
      </c>
      <c r="K67" s="181" t="s">
        <v>17</v>
      </c>
      <c r="L67" s="180">
        <f t="shared" si="24"/>
        <v>2.05175004E-4</v>
      </c>
      <c r="N67" s="12"/>
      <c r="O67" s="12"/>
      <c r="P67" s="194"/>
      <c r="Q67" s="12"/>
      <c r="S67" s="193"/>
      <c r="T67" s="194"/>
    </row>
    <row r="68" spans="2:22" ht="16">
      <c r="C68" s="11" t="s">
        <v>292</v>
      </c>
      <c r="D68" s="11" t="s">
        <v>21</v>
      </c>
      <c r="E68" s="14">
        <v>0</v>
      </c>
      <c r="F68" s="14">
        <v>0</v>
      </c>
      <c r="G68" s="181" t="s">
        <v>17</v>
      </c>
      <c r="H68" s="180">
        <f t="shared" si="23"/>
        <v>0</v>
      </c>
      <c r="I68" s="12">
        <v>0</v>
      </c>
      <c r="J68" s="12">
        <v>0</v>
      </c>
      <c r="K68" s="181" t="s">
        <v>17</v>
      </c>
      <c r="L68" s="180">
        <f t="shared" si="24"/>
        <v>0</v>
      </c>
      <c r="N68" s="12"/>
      <c r="O68" s="12"/>
      <c r="P68" s="194"/>
      <c r="Q68" s="12"/>
      <c r="S68" s="193"/>
      <c r="T68" s="194"/>
    </row>
    <row r="69" spans="2:22" ht="16" customHeight="1">
      <c r="B69" s="26" t="s">
        <v>293</v>
      </c>
      <c r="C69" s="11"/>
      <c r="D69" s="11"/>
      <c r="P69" s="22"/>
      <c r="R69" s="22"/>
      <c r="S69" s="22"/>
      <c r="T69" s="22"/>
      <c r="U69" s="22"/>
      <c r="V69" s="22"/>
    </row>
    <row r="70" spans="2:22" ht="16" customHeight="1" thickBot="1">
      <c r="B70" s="27"/>
      <c r="C70" s="28"/>
      <c r="D70" s="28"/>
      <c r="E70" s="27"/>
      <c r="F70" s="27"/>
      <c r="G70" s="27"/>
      <c r="H70" s="27"/>
      <c r="I70" s="27"/>
      <c r="J70" s="27"/>
      <c r="K70" s="27"/>
      <c r="L70" s="27"/>
      <c r="M70" s="27"/>
      <c r="N70" s="27"/>
      <c r="O70" s="27"/>
      <c r="P70" s="29"/>
      <c r="Q70" s="27"/>
      <c r="R70" s="29"/>
      <c r="S70" s="29"/>
      <c r="T70" s="29"/>
      <c r="U70" s="22"/>
      <c r="V70" s="22"/>
    </row>
    <row r="71" spans="2:22">
      <c r="B71" s="66"/>
    </row>
    <row r="72" spans="2:22">
      <c r="B72" s="66"/>
    </row>
    <row r="73" spans="2:22">
      <c r="B73" s="66"/>
    </row>
    <row r="74" spans="2:22">
      <c r="B74" s="66"/>
    </row>
    <row r="75" spans="2:22">
      <c r="B75" s="66"/>
    </row>
    <row r="76" spans="2:22">
      <c r="B76" s="66"/>
    </row>
    <row r="77" spans="2:22">
      <c r="B77" s="66"/>
    </row>
    <row r="78" spans="2:22">
      <c r="B78" s="66"/>
    </row>
    <row r="79" spans="2:22">
      <c r="B79" s="66"/>
    </row>
    <row r="80" spans="2:22">
      <c r="B80" s="66"/>
    </row>
    <row r="81" spans="2:2">
      <c r="B81" s="66"/>
    </row>
    <row r="82" spans="2:2">
      <c r="B82" s="66"/>
    </row>
    <row r="83" spans="2:2">
      <c r="B83" s="66"/>
    </row>
    <row r="84" spans="2:2">
      <c r="B84" s="66"/>
    </row>
    <row r="85" spans="2:2">
      <c r="B85" s="66"/>
    </row>
    <row r="86" spans="2:2">
      <c r="B86" s="66"/>
    </row>
    <row r="87" spans="2:2">
      <c r="B87" s="66"/>
    </row>
    <row r="88" spans="2:2">
      <c r="B88" s="66"/>
    </row>
    <row r="89" spans="2:2">
      <c r="B89" s="66"/>
    </row>
    <row r="90" spans="2:2">
      <c r="B90" s="66"/>
    </row>
    <row r="91" spans="2:2">
      <c r="B91" s="66"/>
    </row>
    <row r="92" spans="2:2">
      <c r="B92" s="66"/>
    </row>
    <row r="93" spans="2:2">
      <c r="B93" s="66"/>
    </row>
    <row r="94" spans="2:2">
      <c r="B94" s="66"/>
    </row>
    <row r="95" spans="2:2">
      <c r="B95" s="66"/>
    </row>
    <row r="96" spans="2:2">
      <c r="B96" s="66"/>
    </row>
    <row r="97" spans="2:2">
      <c r="B97" s="66"/>
    </row>
    <row r="98" spans="2:2">
      <c r="B98" s="66"/>
    </row>
    <row r="99" spans="2:2">
      <c r="B99" s="66"/>
    </row>
    <row r="100" spans="2:2">
      <c r="B100" s="66"/>
    </row>
    <row r="101" spans="2:2">
      <c r="B101" s="66"/>
    </row>
    <row r="102" spans="2:2">
      <c r="B102" s="66"/>
    </row>
    <row r="103" spans="2:2">
      <c r="B103" s="66"/>
    </row>
    <row r="104" spans="2:2">
      <c r="B104" s="66"/>
    </row>
    <row r="105" spans="2:2">
      <c r="B105" s="66"/>
    </row>
    <row r="106" spans="2:2">
      <c r="B106" s="66"/>
    </row>
    <row r="107" spans="2:2">
      <c r="B107" s="66"/>
    </row>
    <row r="108" spans="2:2">
      <c r="B108" s="66"/>
    </row>
    <row r="109" spans="2:2">
      <c r="B109" s="66"/>
    </row>
    <row r="110" spans="2:2">
      <c r="B110" s="66"/>
    </row>
    <row r="111" spans="2:2">
      <c r="B111" s="66"/>
    </row>
    <row r="112" spans="2:2">
      <c r="B112" s="66"/>
    </row>
    <row r="113" spans="2:2">
      <c r="B113" s="66"/>
    </row>
    <row r="114" spans="2:2">
      <c r="B114" s="66"/>
    </row>
    <row r="115" spans="2:2">
      <c r="B115" s="66"/>
    </row>
    <row r="116" spans="2:2">
      <c r="B116" s="66"/>
    </row>
    <row r="117" spans="2:2">
      <c r="B117" s="66"/>
    </row>
    <row r="118" spans="2:2">
      <c r="B118" s="66"/>
    </row>
    <row r="119" spans="2:2">
      <c r="B119" s="66"/>
    </row>
    <row r="120" spans="2:2">
      <c r="B120" s="66"/>
    </row>
    <row r="121" spans="2:2">
      <c r="B121" s="66"/>
    </row>
    <row r="122" spans="2:2">
      <c r="B122" s="66"/>
    </row>
    <row r="123" spans="2:2">
      <c r="B123" s="66"/>
    </row>
    <row r="124" spans="2:2">
      <c r="B124" s="66"/>
    </row>
    <row r="125" spans="2:2">
      <c r="B125" s="66"/>
    </row>
    <row r="126" spans="2:2">
      <c r="B126" s="66"/>
    </row>
    <row r="127" spans="2:2">
      <c r="B127" s="66"/>
    </row>
    <row r="128" spans="2:2">
      <c r="B128" s="66"/>
    </row>
    <row r="129" spans="2:2">
      <c r="B129" s="66"/>
    </row>
    <row r="130" spans="2:2">
      <c r="B130" s="66"/>
    </row>
    <row r="131" spans="2:2">
      <c r="B131" s="66"/>
    </row>
    <row r="132" spans="2:2">
      <c r="B132" s="66"/>
    </row>
    <row r="133" spans="2:2">
      <c r="B133" s="66"/>
    </row>
    <row r="134" spans="2:2">
      <c r="B134" s="66"/>
    </row>
    <row r="135" spans="2:2">
      <c r="B135" s="66"/>
    </row>
    <row r="136" spans="2:2">
      <c r="B136" s="66"/>
    </row>
    <row r="137" spans="2:2">
      <c r="B137" s="66"/>
    </row>
    <row r="138" spans="2:2">
      <c r="B138" s="66"/>
    </row>
    <row r="139" spans="2:2">
      <c r="B139" s="66"/>
    </row>
    <row r="140" spans="2:2">
      <c r="B140" s="66"/>
    </row>
    <row r="141" spans="2:2">
      <c r="B141" s="66"/>
    </row>
    <row r="142" spans="2:2">
      <c r="B142" s="66"/>
    </row>
    <row r="143" spans="2:2">
      <c r="B143" s="66"/>
    </row>
    <row r="144" spans="2:2">
      <c r="B144" s="66"/>
    </row>
    <row r="145" spans="2:2">
      <c r="B145" s="66"/>
    </row>
    <row r="146" spans="2:2">
      <c r="B146" s="66"/>
    </row>
    <row r="147" spans="2:2">
      <c r="B147" s="66"/>
    </row>
    <row r="148" spans="2:2">
      <c r="B148" s="66"/>
    </row>
    <row r="149" spans="2:2">
      <c r="B149" s="66"/>
    </row>
    <row r="150" spans="2:2">
      <c r="B150" s="66"/>
    </row>
    <row r="151" spans="2:2">
      <c r="B151" s="66"/>
    </row>
    <row r="152" spans="2:2">
      <c r="B152" s="66"/>
    </row>
    <row r="153" spans="2:2">
      <c r="B153" s="66"/>
    </row>
    <row r="154" spans="2:2">
      <c r="B154" s="66"/>
    </row>
    <row r="155" spans="2:2">
      <c r="B155" s="66"/>
    </row>
    <row r="156" spans="2:2">
      <c r="B156" s="66"/>
    </row>
    <row r="157" spans="2:2">
      <c r="B157" s="66"/>
    </row>
    <row r="158" spans="2:2">
      <c r="B158" s="66"/>
    </row>
    <row r="159" spans="2:2">
      <c r="B159" s="66"/>
    </row>
    <row r="160" spans="2:2">
      <c r="B160" s="66"/>
    </row>
    <row r="161" spans="2:2">
      <c r="B161" s="66"/>
    </row>
    <row r="162" spans="2:2">
      <c r="B162" s="66"/>
    </row>
    <row r="163" spans="2:2">
      <c r="B163" s="66"/>
    </row>
    <row r="164" spans="2:2">
      <c r="B164" s="66"/>
    </row>
    <row r="165" spans="2:2">
      <c r="B165" s="66"/>
    </row>
    <row r="166" spans="2:2">
      <c r="B166" s="66"/>
    </row>
    <row r="167" spans="2:2">
      <c r="B167" s="66"/>
    </row>
    <row r="168" spans="2:2">
      <c r="B168" s="66"/>
    </row>
    <row r="169" spans="2:2">
      <c r="B169" s="66"/>
    </row>
    <row r="170" spans="2:2">
      <c r="B170" s="66"/>
    </row>
    <row r="171" spans="2:2">
      <c r="B171" s="66"/>
    </row>
    <row r="172" spans="2:2">
      <c r="B172" s="66"/>
    </row>
    <row r="173" spans="2:2">
      <c r="B173" s="66"/>
    </row>
    <row r="174" spans="2:2">
      <c r="B174" s="66"/>
    </row>
    <row r="175" spans="2:2">
      <c r="B175" s="66"/>
    </row>
    <row r="176" spans="2:2">
      <c r="B176" s="66"/>
    </row>
    <row r="177" spans="2:2">
      <c r="B177" s="66"/>
    </row>
    <row r="178" spans="2:2">
      <c r="B178" s="66"/>
    </row>
    <row r="179" spans="2:2">
      <c r="B179" s="66"/>
    </row>
    <row r="180" spans="2:2">
      <c r="B180" s="66"/>
    </row>
    <row r="181" spans="2:2">
      <c r="B181" s="66"/>
    </row>
    <row r="182" spans="2:2">
      <c r="B182" s="66"/>
    </row>
    <row r="183" spans="2:2">
      <c r="B183" s="66"/>
    </row>
    <row r="184" spans="2:2">
      <c r="B184" s="66"/>
    </row>
    <row r="185" spans="2:2">
      <c r="B185" s="66"/>
    </row>
    <row r="186" spans="2:2">
      <c r="B186" s="66"/>
    </row>
    <row r="187" spans="2:2">
      <c r="B187" s="66"/>
    </row>
    <row r="188" spans="2:2">
      <c r="B188" s="66"/>
    </row>
    <row r="189" spans="2:2">
      <c r="B189" s="66"/>
    </row>
    <row r="190" spans="2:2">
      <c r="B190" s="66"/>
    </row>
    <row r="191" spans="2:2">
      <c r="B191" s="66"/>
    </row>
    <row r="192" spans="2:2">
      <c r="B192" s="66"/>
    </row>
    <row r="193" spans="2:2">
      <c r="B193" s="66"/>
    </row>
    <row r="194" spans="2:2">
      <c r="B194" s="66"/>
    </row>
    <row r="195" spans="2:2">
      <c r="B195" s="66"/>
    </row>
    <row r="196" spans="2:2">
      <c r="B196" s="66"/>
    </row>
    <row r="197" spans="2:2">
      <c r="B197" s="66"/>
    </row>
    <row r="198" spans="2:2">
      <c r="B198" s="66"/>
    </row>
    <row r="199" spans="2:2">
      <c r="B199" s="66"/>
    </row>
    <row r="200" spans="2:2">
      <c r="B200" s="66"/>
    </row>
    <row r="201" spans="2:2">
      <c r="B201" s="66"/>
    </row>
    <row r="202" spans="2:2">
      <c r="B202" s="66"/>
    </row>
    <row r="203" spans="2:2">
      <c r="B203" s="66"/>
    </row>
    <row r="204" spans="2:2">
      <c r="B204" s="66"/>
    </row>
    <row r="205" spans="2:2">
      <c r="B205" s="66"/>
    </row>
    <row r="206" spans="2:2">
      <c r="B206" s="66"/>
    </row>
    <row r="207" spans="2:2">
      <c r="B207" s="66"/>
    </row>
    <row r="208" spans="2:2">
      <c r="B208" s="66"/>
    </row>
    <row r="209" spans="2:2">
      <c r="B209" s="66"/>
    </row>
    <row r="210" spans="2:2">
      <c r="B210" s="66"/>
    </row>
    <row r="211" spans="2:2">
      <c r="B211" s="66"/>
    </row>
    <row r="212" spans="2:2">
      <c r="B212" s="66"/>
    </row>
    <row r="213" spans="2:2">
      <c r="B213" s="66"/>
    </row>
    <row r="214" spans="2:2">
      <c r="B214" s="66"/>
    </row>
    <row r="215" spans="2:2">
      <c r="B215" s="66"/>
    </row>
    <row r="216" spans="2:2">
      <c r="B216" s="66"/>
    </row>
    <row r="217" spans="2:2">
      <c r="B217" s="66"/>
    </row>
    <row r="218" spans="2:2">
      <c r="B218" s="66"/>
    </row>
    <row r="219" spans="2:2">
      <c r="B219" s="66"/>
    </row>
    <row r="220" spans="2:2">
      <c r="B220" s="66"/>
    </row>
    <row r="221" spans="2:2">
      <c r="B221" s="66"/>
    </row>
    <row r="222" spans="2:2">
      <c r="B222" s="66"/>
    </row>
    <row r="223" spans="2:2">
      <c r="B223" s="66"/>
    </row>
    <row r="224" spans="2:2">
      <c r="B224" s="66"/>
    </row>
    <row r="225" spans="2:2">
      <c r="B225" s="66"/>
    </row>
    <row r="226" spans="2:2">
      <c r="B226" s="66"/>
    </row>
    <row r="227" spans="2:2">
      <c r="B227" s="66"/>
    </row>
    <row r="228" spans="2:2">
      <c r="B228" s="66"/>
    </row>
    <row r="229" spans="2:2">
      <c r="B229" s="66"/>
    </row>
    <row r="230" spans="2:2">
      <c r="B230" s="66"/>
    </row>
    <row r="231" spans="2:2">
      <c r="B231" s="66"/>
    </row>
    <row r="232" spans="2:2">
      <c r="B232" s="66"/>
    </row>
    <row r="233" spans="2:2">
      <c r="B233" s="66"/>
    </row>
    <row r="234" spans="2:2">
      <c r="B234" s="66"/>
    </row>
    <row r="235" spans="2:2">
      <c r="B235" s="66"/>
    </row>
    <row r="236" spans="2:2">
      <c r="B236" s="66"/>
    </row>
    <row r="237" spans="2:2">
      <c r="B237" s="66"/>
    </row>
    <row r="238" spans="2:2">
      <c r="B238" s="66"/>
    </row>
    <row r="239" spans="2:2">
      <c r="B239" s="66"/>
    </row>
    <row r="240" spans="2:2">
      <c r="B240" s="66"/>
    </row>
    <row r="241" spans="2:2">
      <c r="B241" s="66"/>
    </row>
    <row r="242" spans="2:2">
      <c r="B242" s="66"/>
    </row>
    <row r="243" spans="2:2">
      <c r="B243" s="66"/>
    </row>
    <row r="244" spans="2:2">
      <c r="B244" s="66"/>
    </row>
    <row r="245" spans="2:2">
      <c r="B245" s="66"/>
    </row>
    <row r="246" spans="2:2">
      <c r="B246" s="66"/>
    </row>
    <row r="247" spans="2:2">
      <c r="B247" s="66"/>
    </row>
    <row r="248" spans="2:2">
      <c r="B248" s="66"/>
    </row>
    <row r="249" spans="2:2">
      <c r="B249" s="66"/>
    </row>
    <row r="250" spans="2:2">
      <c r="B250" s="66"/>
    </row>
    <row r="251" spans="2:2">
      <c r="B251" s="66"/>
    </row>
    <row r="252" spans="2:2">
      <c r="B252" s="66"/>
    </row>
    <row r="253" spans="2:2">
      <c r="B253" s="66"/>
    </row>
    <row r="254" spans="2:2">
      <c r="B254" s="66"/>
    </row>
    <row r="255" spans="2:2">
      <c r="B255" s="66"/>
    </row>
    <row r="256" spans="2:2">
      <c r="B256" s="66"/>
    </row>
    <row r="257" spans="2:2">
      <c r="B257" s="66"/>
    </row>
    <row r="258" spans="2:2">
      <c r="B258" s="66"/>
    </row>
    <row r="259" spans="2:2">
      <c r="B259" s="66"/>
    </row>
    <row r="260" spans="2:2">
      <c r="B260" s="66"/>
    </row>
    <row r="261" spans="2:2">
      <c r="B261" s="66"/>
    </row>
    <row r="262" spans="2:2">
      <c r="B262" s="66"/>
    </row>
    <row r="263" spans="2:2">
      <c r="B263" s="66"/>
    </row>
    <row r="264" spans="2:2">
      <c r="B264" s="66"/>
    </row>
    <row r="265" spans="2:2">
      <c r="B265" s="66"/>
    </row>
    <row r="266" spans="2:2">
      <c r="B266" s="66"/>
    </row>
    <row r="267" spans="2:2">
      <c r="B267" s="66"/>
    </row>
    <row r="268" spans="2:2">
      <c r="B268" s="66"/>
    </row>
    <row r="269" spans="2:2">
      <c r="B269" s="66"/>
    </row>
    <row r="270" spans="2:2">
      <c r="B270" s="66"/>
    </row>
    <row r="271" spans="2:2">
      <c r="B271" s="66"/>
    </row>
    <row r="272" spans="2:2">
      <c r="B272" s="66"/>
    </row>
    <row r="273" spans="2:2">
      <c r="B273" s="66"/>
    </row>
    <row r="274" spans="2:2">
      <c r="B274" s="66"/>
    </row>
    <row r="275" spans="2:2">
      <c r="B275" s="66"/>
    </row>
    <row r="276" spans="2:2">
      <c r="B276" s="66"/>
    </row>
    <row r="277" spans="2:2">
      <c r="B277" s="66"/>
    </row>
    <row r="278" spans="2:2">
      <c r="B278" s="66"/>
    </row>
    <row r="279" spans="2:2">
      <c r="B279" s="66"/>
    </row>
    <row r="280" spans="2:2">
      <c r="B280" s="66"/>
    </row>
    <row r="281" spans="2:2">
      <c r="B281" s="66"/>
    </row>
    <row r="282" spans="2:2">
      <c r="B282" s="66"/>
    </row>
    <row r="283" spans="2:2">
      <c r="B283" s="66"/>
    </row>
    <row r="284" spans="2:2">
      <c r="B284" s="66"/>
    </row>
    <row r="285" spans="2:2">
      <c r="B285" s="66"/>
    </row>
    <row r="286" spans="2:2">
      <c r="B286" s="66"/>
    </row>
    <row r="287" spans="2:2">
      <c r="B287" s="66"/>
    </row>
    <row r="288" spans="2:2">
      <c r="B288" s="66"/>
    </row>
    <row r="289" spans="2:2">
      <c r="B289" s="66"/>
    </row>
    <row r="290" spans="2:2">
      <c r="B290" s="66"/>
    </row>
    <row r="291" spans="2:2">
      <c r="B291" s="66"/>
    </row>
    <row r="292" spans="2:2">
      <c r="B292" s="66"/>
    </row>
    <row r="293" spans="2:2">
      <c r="B293" s="66"/>
    </row>
    <row r="294" spans="2:2">
      <c r="B294" s="66"/>
    </row>
    <row r="295" spans="2:2">
      <c r="B295" s="66"/>
    </row>
    <row r="296" spans="2:2">
      <c r="B296" s="66"/>
    </row>
    <row r="297" spans="2:2">
      <c r="B297" s="66"/>
    </row>
    <row r="298" spans="2:2">
      <c r="B298" s="66"/>
    </row>
    <row r="299" spans="2:2">
      <c r="B299" s="66"/>
    </row>
    <row r="300" spans="2:2">
      <c r="B300" s="66"/>
    </row>
    <row r="301" spans="2:2">
      <c r="B301" s="66"/>
    </row>
    <row r="302" spans="2:2">
      <c r="B302" s="66"/>
    </row>
    <row r="303" spans="2:2">
      <c r="B303" s="66"/>
    </row>
    <row r="304" spans="2:2">
      <c r="B304" s="66"/>
    </row>
    <row r="305" spans="2:2">
      <c r="B305" s="66"/>
    </row>
    <row r="306" spans="2:2">
      <c r="B306" s="66"/>
    </row>
    <row r="307" spans="2:2">
      <c r="B307" s="66"/>
    </row>
    <row r="308" spans="2:2">
      <c r="B308" s="66"/>
    </row>
    <row r="309" spans="2:2">
      <c r="B309" s="66"/>
    </row>
    <row r="310" spans="2:2">
      <c r="B310" s="66"/>
    </row>
    <row r="311" spans="2:2">
      <c r="B311" s="66"/>
    </row>
    <row r="312" spans="2:2">
      <c r="B312" s="66"/>
    </row>
    <row r="313" spans="2:2">
      <c r="B313" s="66"/>
    </row>
    <row r="314" spans="2:2">
      <c r="B314" s="66"/>
    </row>
    <row r="315" spans="2:2">
      <c r="B315" s="66"/>
    </row>
    <row r="316" spans="2:2">
      <c r="B316" s="66"/>
    </row>
    <row r="317" spans="2:2">
      <c r="B317" s="66"/>
    </row>
    <row r="318" spans="2:2">
      <c r="B318" s="66"/>
    </row>
    <row r="319" spans="2:2">
      <c r="B319" s="66"/>
    </row>
    <row r="320" spans="2:2">
      <c r="B320" s="66"/>
    </row>
    <row r="321" spans="2:2">
      <c r="B321" s="66"/>
    </row>
    <row r="322" spans="2:2">
      <c r="B322" s="66"/>
    </row>
    <row r="323" spans="2:2">
      <c r="B323" s="66"/>
    </row>
    <row r="324" spans="2:2">
      <c r="B324" s="66"/>
    </row>
    <row r="325" spans="2:2">
      <c r="B325" s="66"/>
    </row>
    <row r="326" spans="2:2">
      <c r="B326" s="66"/>
    </row>
    <row r="327" spans="2:2">
      <c r="B327" s="66"/>
    </row>
    <row r="328" spans="2:2">
      <c r="B328" s="66"/>
    </row>
    <row r="329" spans="2:2">
      <c r="B329" s="66"/>
    </row>
    <row r="330" spans="2:2">
      <c r="B330" s="66"/>
    </row>
    <row r="331" spans="2:2">
      <c r="B331" s="66"/>
    </row>
    <row r="332" spans="2:2">
      <c r="B332" s="66"/>
    </row>
    <row r="333" spans="2:2">
      <c r="B333" s="66"/>
    </row>
    <row r="334" spans="2:2">
      <c r="B334" s="66"/>
    </row>
    <row r="335" spans="2:2">
      <c r="B335" s="66"/>
    </row>
    <row r="336" spans="2:2">
      <c r="B336" s="66"/>
    </row>
    <row r="337" spans="2:2">
      <c r="B337" s="66"/>
    </row>
    <row r="338" spans="2:2">
      <c r="B338" s="66"/>
    </row>
    <row r="339" spans="2:2">
      <c r="B339" s="66"/>
    </row>
    <row r="340" spans="2:2">
      <c r="B340" s="66"/>
    </row>
    <row r="341" spans="2:2">
      <c r="B341" s="66"/>
    </row>
    <row r="342" spans="2:2">
      <c r="B342" s="66"/>
    </row>
    <row r="343" spans="2:2">
      <c r="B343" s="66"/>
    </row>
    <row r="344" spans="2:2">
      <c r="B344" s="66"/>
    </row>
    <row r="345" spans="2:2">
      <c r="B345" s="66"/>
    </row>
    <row r="346" spans="2:2">
      <c r="B346" s="66"/>
    </row>
    <row r="347" spans="2:2">
      <c r="B347" s="66"/>
    </row>
    <row r="348" spans="2:2">
      <c r="B348" s="66"/>
    </row>
    <row r="349" spans="2:2">
      <c r="B349" s="66"/>
    </row>
    <row r="350" spans="2:2">
      <c r="B350" s="66"/>
    </row>
    <row r="351" spans="2:2">
      <c r="B351" s="66"/>
    </row>
    <row r="352" spans="2:2">
      <c r="B352" s="66"/>
    </row>
    <row r="353" spans="2:2">
      <c r="B353" s="66"/>
    </row>
    <row r="354" spans="2:2">
      <c r="B354" s="66"/>
    </row>
    <row r="355" spans="2:2">
      <c r="B355" s="66"/>
    </row>
    <row r="356" spans="2:2">
      <c r="B356" s="66"/>
    </row>
    <row r="357" spans="2:2">
      <c r="B357" s="66"/>
    </row>
    <row r="358" spans="2:2">
      <c r="B358" s="66"/>
    </row>
    <row r="359" spans="2:2">
      <c r="B359" s="66"/>
    </row>
    <row r="360" spans="2:2">
      <c r="B360" s="66"/>
    </row>
    <row r="361" spans="2:2">
      <c r="B361" s="66"/>
    </row>
    <row r="362" spans="2:2">
      <c r="B362" s="66"/>
    </row>
    <row r="363" spans="2:2">
      <c r="B363" s="66"/>
    </row>
    <row r="364" spans="2:2">
      <c r="B364" s="66"/>
    </row>
    <row r="365" spans="2:2">
      <c r="B365" s="66"/>
    </row>
    <row r="366" spans="2:2">
      <c r="B366" s="66"/>
    </row>
    <row r="367" spans="2:2">
      <c r="B367" s="66"/>
    </row>
    <row r="368" spans="2:2">
      <c r="B368" s="66"/>
    </row>
    <row r="369" spans="2:2">
      <c r="B369" s="66"/>
    </row>
    <row r="370" spans="2:2">
      <c r="B370" s="66"/>
    </row>
    <row r="371" spans="2:2">
      <c r="B371" s="66"/>
    </row>
    <row r="372" spans="2:2">
      <c r="B372" s="66"/>
    </row>
    <row r="373" spans="2:2">
      <c r="B373" s="66"/>
    </row>
    <row r="374" spans="2:2">
      <c r="B374" s="66"/>
    </row>
    <row r="375" spans="2:2">
      <c r="B375" s="66"/>
    </row>
    <row r="376" spans="2:2">
      <c r="B376" s="66"/>
    </row>
    <row r="377" spans="2:2">
      <c r="B377" s="66"/>
    </row>
    <row r="378" spans="2:2">
      <c r="B378" s="66"/>
    </row>
    <row r="379" spans="2:2">
      <c r="B379" s="66"/>
    </row>
    <row r="380" spans="2:2">
      <c r="B380" s="66"/>
    </row>
    <row r="381" spans="2:2">
      <c r="B381" s="66"/>
    </row>
    <row r="382" spans="2:2">
      <c r="B382" s="66"/>
    </row>
    <row r="383" spans="2:2">
      <c r="B383" s="66"/>
    </row>
    <row r="384" spans="2:2">
      <c r="B384" s="66"/>
    </row>
    <row r="385" spans="2:2">
      <c r="B385" s="66"/>
    </row>
    <row r="386" spans="2:2">
      <c r="B386" s="66"/>
    </row>
    <row r="387" spans="2:2">
      <c r="B387" s="66"/>
    </row>
    <row r="388" spans="2:2">
      <c r="B388" s="66"/>
    </row>
    <row r="389" spans="2:2">
      <c r="B389" s="66"/>
    </row>
    <row r="390" spans="2:2">
      <c r="B390" s="66"/>
    </row>
    <row r="391" spans="2:2">
      <c r="B391" s="66"/>
    </row>
    <row r="392" spans="2:2">
      <c r="B392" s="66"/>
    </row>
    <row r="393" spans="2:2">
      <c r="B393" s="66"/>
    </row>
    <row r="394" spans="2:2">
      <c r="B394" s="66"/>
    </row>
    <row r="395" spans="2:2">
      <c r="B395" s="66"/>
    </row>
    <row r="396" spans="2:2">
      <c r="B396" s="66"/>
    </row>
    <row r="397" spans="2:2">
      <c r="B397" s="66"/>
    </row>
    <row r="398" spans="2:2">
      <c r="B398" s="66"/>
    </row>
    <row r="399" spans="2:2">
      <c r="B399" s="66"/>
    </row>
    <row r="400" spans="2:2">
      <c r="B400" s="66"/>
    </row>
    <row r="401" spans="2:2">
      <c r="B401" s="66"/>
    </row>
    <row r="402" spans="2:2">
      <c r="B402" s="66"/>
    </row>
    <row r="403" spans="2:2">
      <c r="B403" s="66"/>
    </row>
    <row r="404" spans="2:2">
      <c r="B404" s="66"/>
    </row>
    <row r="405" spans="2:2">
      <c r="B405" s="66"/>
    </row>
    <row r="406" spans="2:2">
      <c r="B406" s="66"/>
    </row>
    <row r="407" spans="2:2">
      <c r="B407" s="66"/>
    </row>
    <row r="408" spans="2:2">
      <c r="B408" s="66"/>
    </row>
    <row r="409" spans="2:2">
      <c r="B409" s="66"/>
    </row>
    <row r="410" spans="2:2">
      <c r="B410" s="66"/>
    </row>
    <row r="411" spans="2:2">
      <c r="B411" s="66"/>
    </row>
    <row r="412" spans="2:2">
      <c r="B412" s="66"/>
    </row>
    <row r="413" spans="2:2">
      <c r="B413" s="66"/>
    </row>
    <row r="414" spans="2:2">
      <c r="B414" s="66"/>
    </row>
    <row r="415" spans="2:2">
      <c r="B415" s="66"/>
    </row>
    <row r="416" spans="2:2">
      <c r="B416" s="66"/>
    </row>
    <row r="417" spans="2:2">
      <c r="B417" s="66"/>
    </row>
    <row r="418" spans="2:2">
      <c r="B418" s="66"/>
    </row>
    <row r="419" spans="2:2">
      <c r="B419" s="66"/>
    </row>
    <row r="420" spans="2:2">
      <c r="B420" s="66"/>
    </row>
    <row r="421" spans="2:2">
      <c r="B421" s="66"/>
    </row>
    <row r="422" spans="2:2">
      <c r="B422" s="66"/>
    </row>
    <row r="423" spans="2:2">
      <c r="B423" s="66"/>
    </row>
    <row r="424" spans="2:2">
      <c r="B424" s="66"/>
    </row>
    <row r="425" spans="2:2">
      <c r="B425" s="66"/>
    </row>
    <row r="426" spans="2:2">
      <c r="B426" s="66"/>
    </row>
    <row r="427" spans="2:2">
      <c r="B427" s="66"/>
    </row>
    <row r="428" spans="2:2">
      <c r="B428" s="66"/>
    </row>
    <row r="429" spans="2:2">
      <c r="B429" s="66"/>
    </row>
    <row r="430" spans="2:2">
      <c r="B430" s="66"/>
    </row>
    <row r="431" spans="2:2">
      <c r="B431" s="66"/>
    </row>
    <row r="432" spans="2:2">
      <c r="B432" s="66"/>
    </row>
    <row r="433" spans="2:2">
      <c r="B433" s="66"/>
    </row>
    <row r="434" spans="2:2">
      <c r="B434" s="66"/>
    </row>
    <row r="435" spans="2:2">
      <c r="B435" s="66"/>
    </row>
    <row r="436" spans="2:2">
      <c r="B436" s="66"/>
    </row>
    <row r="437" spans="2:2">
      <c r="B437" s="66"/>
    </row>
    <row r="438" spans="2:2">
      <c r="B438" s="66"/>
    </row>
    <row r="439" spans="2:2">
      <c r="B439" s="66"/>
    </row>
    <row r="440" spans="2:2">
      <c r="B440" s="66"/>
    </row>
    <row r="441" spans="2:2">
      <c r="B441" s="66"/>
    </row>
    <row r="442" spans="2:2">
      <c r="B442" s="66"/>
    </row>
    <row r="443" spans="2:2">
      <c r="B443" s="66"/>
    </row>
    <row r="444" spans="2:2">
      <c r="B444" s="66"/>
    </row>
    <row r="445" spans="2:2">
      <c r="B445" s="66"/>
    </row>
    <row r="446" spans="2:2">
      <c r="B446" s="66"/>
    </row>
    <row r="447" spans="2:2">
      <c r="B447" s="66"/>
    </row>
    <row r="448" spans="2:2">
      <c r="B448" s="66"/>
    </row>
    <row r="449" spans="2:2">
      <c r="B449" s="66"/>
    </row>
    <row r="450" spans="2:2">
      <c r="B450" s="66"/>
    </row>
    <row r="451" spans="2:2">
      <c r="B451" s="66"/>
    </row>
    <row r="452" spans="2:2">
      <c r="B452" s="66"/>
    </row>
    <row r="453" spans="2:2">
      <c r="B453" s="66"/>
    </row>
    <row r="454" spans="2:2">
      <c r="B454" s="66"/>
    </row>
    <row r="455" spans="2:2">
      <c r="B455" s="66"/>
    </row>
    <row r="456" spans="2:2">
      <c r="B456" s="66"/>
    </row>
    <row r="457" spans="2:2">
      <c r="B457" s="66"/>
    </row>
    <row r="458" spans="2:2">
      <c r="B458" s="66"/>
    </row>
    <row r="459" spans="2:2">
      <c r="B459" s="66"/>
    </row>
    <row r="460" spans="2:2">
      <c r="B460" s="66"/>
    </row>
    <row r="461" spans="2:2">
      <c r="B461" s="66"/>
    </row>
    <row r="462" spans="2:2">
      <c r="B462" s="66"/>
    </row>
    <row r="463" spans="2:2">
      <c r="B463" s="66"/>
    </row>
    <row r="464" spans="2:2">
      <c r="B464" s="66"/>
    </row>
    <row r="465" spans="2:2">
      <c r="B465" s="66"/>
    </row>
    <row r="466" spans="2:2">
      <c r="B466" s="66"/>
    </row>
    <row r="467" spans="2:2">
      <c r="B467" s="66"/>
    </row>
    <row r="468" spans="2:2">
      <c r="B468" s="66"/>
    </row>
    <row r="469" spans="2:2">
      <c r="B469" s="66"/>
    </row>
    <row r="470" spans="2:2">
      <c r="B470" s="66"/>
    </row>
    <row r="471" spans="2:2">
      <c r="B471" s="66"/>
    </row>
    <row r="472" spans="2:2">
      <c r="B472" s="66"/>
    </row>
    <row r="473" spans="2:2">
      <c r="B473" s="66"/>
    </row>
    <row r="474" spans="2:2">
      <c r="B474" s="66"/>
    </row>
    <row r="475" spans="2:2">
      <c r="B475" s="66"/>
    </row>
    <row r="476" spans="2:2">
      <c r="B476" s="66"/>
    </row>
    <row r="477" spans="2:2">
      <c r="B477" s="66"/>
    </row>
    <row r="478" spans="2:2">
      <c r="B478" s="66"/>
    </row>
    <row r="479" spans="2:2">
      <c r="B479" s="66"/>
    </row>
    <row r="480" spans="2:2">
      <c r="B480" s="66"/>
    </row>
    <row r="481" spans="2:2">
      <c r="B481" s="66"/>
    </row>
    <row r="482" spans="2:2">
      <c r="B482" s="66"/>
    </row>
    <row r="483" spans="2:2">
      <c r="B483" s="66"/>
    </row>
    <row r="484" spans="2:2">
      <c r="B484" s="66"/>
    </row>
    <row r="485" spans="2:2">
      <c r="B485" s="66"/>
    </row>
    <row r="486" spans="2:2">
      <c r="B486" s="66"/>
    </row>
    <row r="487" spans="2:2">
      <c r="B487" s="66"/>
    </row>
    <row r="488" spans="2:2">
      <c r="B488" s="66"/>
    </row>
    <row r="489" spans="2:2">
      <c r="B489" s="66"/>
    </row>
    <row r="490" spans="2:2">
      <c r="B490" s="66"/>
    </row>
    <row r="491" spans="2:2">
      <c r="B491" s="66"/>
    </row>
    <row r="492" spans="2:2">
      <c r="B492" s="66"/>
    </row>
    <row r="493" spans="2:2">
      <c r="B493" s="66"/>
    </row>
    <row r="494" spans="2:2">
      <c r="B494" s="66"/>
    </row>
    <row r="495" spans="2:2">
      <c r="B495" s="66"/>
    </row>
    <row r="496" spans="2:2">
      <c r="B496" s="66"/>
    </row>
    <row r="497" spans="2:2">
      <c r="B497" s="66"/>
    </row>
    <row r="498" spans="2:2">
      <c r="B498" s="66"/>
    </row>
    <row r="499" spans="2:2">
      <c r="B499" s="66"/>
    </row>
    <row r="500" spans="2:2">
      <c r="B500" s="66"/>
    </row>
    <row r="501" spans="2:2">
      <c r="B501" s="66"/>
    </row>
    <row r="502" spans="2:2">
      <c r="B502" s="66"/>
    </row>
    <row r="503" spans="2:2">
      <c r="B503" s="66"/>
    </row>
    <row r="504" spans="2:2">
      <c r="B504" s="66"/>
    </row>
    <row r="505" spans="2:2">
      <c r="B505" s="66"/>
    </row>
    <row r="506" spans="2:2">
      <c r="B506" s="66"/>
    </row>
    <row r="507" spans="2:2">
      <c r="B507" s="66"/>
    </row>
    <row r="508" spans="2:2">
      <c r="B508" s="66"/>
    </row>
    <row r="509" spans="2:2">
      <c r="B509" s="66"/>
    </row>
    <row r="510" spans="2:2">
      <c r="B510" s="66"/>
    </row>
    <row r="511" spans="2:2">
      <c r="B511" s="66"/>
    </row>
    <row r="512" spans="2:2">
      <c r="B512" s="66"/>
    </row>
    <row r="513" spans="2:2">
      <c r="B513" s="66"/>
    </row>
    <row r="514" spans="2:2">
      <c r="B514" s="66"/>
    </row>
    <row r="515" spans="2:2">
      <c r="B515" s="66"/>
    </row>
    <row r="516" spans="2:2">
      <c r="B516" s="66"/>
    </row>
    <row r="517" spans="2:2">
      <c r="B517" s="66"/>
    </row>
    <row r="518" spans="2:2">
      <c r="B518" s="66"/>
    </row>
    <row r="519" spans="2:2">
      <c r="B519" s="66"/>
    </row>
    <row r="520" spans="2:2">
      <c r="B520" s="66"/>
    </row>
    <row r="521" spans="2:2">
      <c r="B521" s="66"/>
    </row>
    <row r="522" spans="2:2">
      <c r="B522" s="66"/>
    </row>
    <row r="523" spans="2:2">
      <c r="B523" s="66"/>
    </row>
    <row r="524" spans="2:2">
      <c r="B524" s="66"/>
    </row>
    <row r="525" spans="2:2">
      <c r="B525" s="66"/>
    </row>
    <row r="526" spans="2:2">
      <c r="B526" s="66"/>
    </row>
    <row r="527" spans="2:2">
      <c r="B527" s="66"/>
    </row>
    <row r="528" spans="2:2">
      <c r="B528" s="66"/>
    </row>
    <row r="529" spans="2:2">
      <c r="B529" s="66"/>
    </row>
    <row r="530" spans="2:2">
      <c r="B530" s="66"/>
    </row>
    <row r="531" spans="2:2">
      <c r="B531" s="66"/>
    </row>
    <row r="532" spans="2:2">
      <c r="B532" s="66"/>
    </row>
    <row r="533" spans="2:2">
      <c r="B533" s="66"/>
    </row>
    <row r="534" spans="2:2">
      <c r="B534" s="66"/>
    </row>
    <row r="535" spans="2:2">
      <c r="B535" s="66"/>
    </row>
    <row r="536" spans="2:2">
      <c r="B536" s="66"/>
    </row>
    <row r="537" spans="2:2">
      <c r="B537" s="66"/>
    </row>
    <row r="538" spans="2:2">
      <c r="B538" s="66"/>
    </row>
    <row r="539" spans="2:2">
      <c r="B539" s="66"/>
    </row>
    <row r="540" spans="2:2">
      <c r="B540" s="66"/>
    </row>
    <row r="541" spans="2:2">
      <c r="B541" s="66"/>
    </row>
    <row r="542" spans="2:2">
      <c r="B542" s="66"/>
    </row>
    <row r="543" spans="2:2">
      <c r="B543" s="66"/>
    </row>
    <row r="544" spans="2:2">
      <c r="B544" s="66"/>
    </row>
    <row r="545" spans="2:2">
      <c r="B545" s="66"/>
    </row>
    <row r="546" spans="2:2">
      <c r="B546" s="66"/>
    </row>
    <row r="547" spans="2:2">
      <c r="B547" s="66"/>
    </row>
    <row r="548" spans="2:2">
      <c r="B548" s="66"/>
    </row>
    <row r="549" spans="2:2">
      <c r="B549" s="66"/>
    </row>
    <row r="550" spans="2:2">
      <c r="B550" s="66"/>
    </row>
    <row r="551" spans="2:2">
      <c r="B551" s="66"/>
    </row>
    <row r="552" spans="2:2">
      <c r="B552" s="66"/>
    </row>
    <row r="553" spans="2:2">
      <c r="B553" s="66"/>
    </row>
    <row r="554" spans="2:2">
      <c r="B554" s="66"/>
    </row>
    <row r="555" spans="2:2">
      <c r="B555" s="66"/>
    </row>
    <row r="556" spans="2:2">
      <c r="B556" s="66"/>
    </row>
    <row r="557" spans="2:2">
      <c r="B557" s="66"/>
    </row>
    <row r="558" spans="2:2">
      <c r="B558" s="66"/>
    </row>
    <row r="559" spans="2:2">
      <c r="B559" s="66"/>
    </row>
    <row r="560" spans="2:2">
      <c r="B560" s="66"/>
    </row>
    <row r="561" spans="2:2">
      <c r="B561" s="66"/>
    </row>
    <row r="562" spans="2:2">
      <c r="B562" s="66"/>
    </row>
    <row r="563" spans="2:2">
      <c r="B563" s="66"/>
    </row>
    <row r="564" spans="2:2">
      <c r="B564" s="66"/>
    </row>
    <row r="565" spans="2:2">
      <c r="B565" s="66"/>
    </row>
    <row r="566" spans="2:2">
      <c r="B566" s="66"/>
    </row>
    <row r="567" spans="2:2">
      <c r="B567" s="66"/>
    </row>
    <row r="568" spans="2:2">
      <c r="B568" s="66"/>
    </row>
    <row r="569" spans="2:2">
      <c r="B569" s="66"/>
    </row>
    <row r="570" spans="2:2">
      <c r="B570" s="66"/>
    </row>
    <row r="571" spans="2:2">
      <c r="B571" s="66"/>
    </row>
    <row r="572" spans="2:2">
      <c r="B572" s="66"/>
    </row>
    <row r="573" spans="2:2">
      <c r="B573" s="66"/>
    </row>
    <row r="574" spans="2:2">
      <c r="B574" s="66"/>
    </row>
    <row r="575" spans="2:2">
      <c r="B575" s="66"/>
    </row>
    <row r="576" spans="2:2">
      <c r="B576" s="66"/>
    </row>
    <row r="577" spans="2:2">
      <c r="B577" s="66"/>
    </row>
    <row r="578" spans="2:2">
      <c r="B578" s="66"/>
    </row>
    <row r="579" spans="2:2">
      <c r="B579" s="66"/>
    </row>
    <row r="580" spans="2:2">
      <c r="B580" s="66"/>
    </row>
    <row r="581" spans="2:2">
      <c r="B581" s="66"/>
    </row>
    <row r="582" spans="2:2">
      <c r="B582" s="66"/>
    </row>
    <row r="583" spans="2:2">
      <c r="B583" s="66"/>
    </row>
    <row r="584" spans="2:2">
      <c r="B584" s="66"/>
    </row>
    <row r="585" spans="2:2">
      <c r="B585" s="66"/>
    </row>
    <row r="586" spans="2:2">
      <c r="B586" s="66"/>
    </row>
    <row r="587" spans="2:2">
      <c r="B587" s="66"/>
    </row>
    <row r="588" spans="2:2">
      <c r="B588" s="66"/>
    </row>
    <row r="589" spans="2:2">
      <c r="B589" s="66"/>
    </row>
    <row r="590" spans="2:2">
      <c r="B590" s="66"/>
    </row>
    <row r="591" spans="2:2">
      <c r="B591" s="66"/>
    </row>
    <row r="592" spans="2:2">
      <c r="B592" s="66"/>
    </row>
    <row r="593" spans="2:2">
      <c r="B593" s="66"/>
    </row>
    <row r="594" spans="2:2">
      <c r="B594" s="66"/>
    </row>
    <row r="595" spans="2:2">
      <c r="B595" s="66"/>
    </row>
    <row r="596" spans="2:2">
      <c r="B596" s="66"/>
    </row>
    <row r="597" spans="2:2">
      <c r="B597" s="66"/>
    </row>
    <row r="598" spans="2:2">
      <c r="B598" s="66"/>
    </row>
    <row r="599" spans="2:2">
      <c r="B599" s="66"/>
    </row>
    <row r="600" spans="2:2">
      <c r="B600" s="66"/>
    </row>
    <row r="601" spans="2:2">
      <c r="B601" s="66"/>
    </row>
    <row r="602" spans="2:2">
      <c r="B602" s="66"/>
    </row>
    <row r="603" spans="2:2">
      <c r="B603" s="66"/>
    </row>
    <row r="604" spans="2:2">
      <c r="B604" s="66"/>
    </row>
    <row r="605" spans="2:2">
      <c r="B605" s="66"/>
    </row>
    <row r="606" spans="2:2">
      <c r="B606" s="66"/>
    </row>
    <row r="607" spans="2:2">
      <c r="B607" s="66"/>
    </row>
    <row r="608" spans="2:2">
      <c r="B608" s="66"/>
    </row>
    <row r="609" spans="2:2">
      <c r="B609" s="66"/>
    </row>
    <row r="610" spans="2:2">
      <c r="B610" s="66"/>
    </row>
    <row r="611" spans="2:2">
      <c r="B611" s="66"/>
    </row>
    <row r="612" spans="2:2">
      <c r="B612" s="66"/>
    </row>
    <row r="613" spans="2:2">
      <c r="B613" s="66"/>
    </row>
    <row r="614" spans="2:2">
      <c r="B614" s="66"/>
    </row>
    <row r="615" spans="2:2">
      <c r="B615" s="66"/>
    </row>
    <row r="616" spans="2:2">
      <c r="B616" s="66"/>
    </row>
    <row r="617" spans="2:2">
      <c r="B617" s="66"/>
    </row>
    <row r="618" spans="2:2">
      <c r="B618" s="66"/>
    </row>
    <row r="619" spans="2:2">
      <c r="B619" s="66"/>
    </row>
    <row r="620" spans="2:2">
      <c r="B620" s="66"/>
    </row>
    <row r="621" spans="2:2">
      <c r="B621" s="66"/>
    </row>
    <row r="622" spans="2:2">
      <c r="B622" s="66"/>
    </row>
    <row r="623" spans="2:2">
      <c r="B623" s="66"/>
    </row>
    <row r="624" spans="2:2">
      <c r="B624" s="66"/>
    </row>
    <row r="625" spans="2:2">
      <c r="B625" s="66"/>
    </row>
    <row r="626" spans="2:2">
      <c r="B626" s="66"/>
    </row>
    <row r="627" spans="2:2">
      <c r="B627" s="66"/>
    </row>
    <row r="628" spans="2:2">
      <c r="B628" s="66"/>
    </row>
    <row r="629" spans="2:2">
      <c r="B629" s="66"/>
    </row>
    <row r="630" spans="2:2">
      <c r="B630" s="66"/>
    </row>
    <row r="631" spans="2:2">
      <c r="B631" s="66"/>
    </row>
    <row r="632" spans="2:2">
      <c r="B632" s="66"/>
    </row>
    <row r="633" spans="2:2">
      <c r="B633" s="66"/>
    </row>
    <row r="634" spans="2:2">
      <c r="B634" s="66"/>
    </row>
    <row r="635" spans="2:2">
      <c r="B635" s="66"/>
    </row>
    <row r="636" spans="2:2">
      <c r="B636" s="66"/>
    </row>
    <row r="637" spans="2:2">
      <c r="B637" s="66"/>
    </row>
    <row r="638" spans="2:2">
      <c r="B638" s="66"/>
    </row>
    <row r="639" spans="2:2">
      <c r="B639" s="66"/>
    </row>
    <row r="640" spans="2:2">
      <c r="B640" s="66"/>
    </row>
    <row r="641" spans="2:2">
      <c r="B641" s="66"/>
    </row>
    <row r="642" spans="2:2">
      <c r="B642" s="66"/>
    </row>
    <row r="643" spans="2:2">
      <c r="B643" s="66"/>
    </row>
    <row r="644" spans="2:2">
      <c r="B644" s="66"/>
    </row>
    <row r="645" spans="2:2">
      <c r="B645" s="66"/>
    </row>
    <row r="646" spans="2:2">
      <c r="B646" s="66"/>
    </row>
    <row r="647" spans="2:2">
      <c r="B647" s="66"/>
    </row>
    <row r="648" spans="2:2">
      <c r="B648" s="66"/>
    </row>
    <row r="649" spans="2:2">
      <c r="B649" s="66"/>
    </row>
    <row r="650" spans="2:2">
      <c r="B650" s="66"/>
    </row>
    <row r="651" spans="2:2">
      <c r="B651" s="66"/>
    </row>
    <row r="652" spans="2:2">
      <c r="B652" s="66"/>
    </row>
    <row r="653" spans="2:2">
      <c r="B653" s="66"/>
    </row>
    <row r="654" spans="2:2">
      <c r="B654" s="66"/>
    </row>
    <row r="655" spans="2:2">
      <c r="B655" s="66"/>
    </row>
    <row r="656" spans="2:2">
      <c r="B656" s="66"/>
    </row>
    <row r="657" spans="2:2">
      <c r="B657" s="66"/>
    </row>
    <row r="658" spans="2:2">
      <c r="B658" s="66"/>
    </row>
    <row r="659" spans="2:2">
      <c r="B659" s="66"/>
    </row>
    <row r="660" spans="2:2">
      <c r="B660" s="66"/>
    </row>
    <row r="661" spans="2:2">
      <c r="B661" s="66"/>
    </row>
    <row r="662" spans="2:2">
      <c r="B662" s="66"/>
    </row>
    <row r="663" spans="2:2">
      <c r="B663" s="66"/>
    </row>
    <row r="664" spans="2:2">
      <c r="B664" s="66"/>
    </row>
    <row r="665" spans="2:2">
      <c r="B665" s="66"/>
    </row>
    <row r="666" spans="2:2">
      <c r="B666" s="66"/>
    </row>
    <row r="667" spans="2:2">
      <c r="B667" s="66"/>
    </row>
    <row r="668" spans="2:2">
      <c r="B668" s="66"/>
    </row>
    <row r="669" spans="2:2">
      <c r="B669" s="66"/>
    </row>
    <row r="670" spans="2:2">
      <c r="B670" s="66"/>
    </row>
    <row r="671" spans="2:2">
      <c r="B671" s="66"/>
    </row>
    <row r="672" spans="2:2">
      <c r="B672" s="66"/>
    </row>
    <row r="673" spans="2:2">
      <c r="B673" s="66"/>
    </row>
    <row r="674" spans="2:2">
      <c r="B674" s="66"/>
    </row>
    <row r="675" spans="2:2">
      <c r="B675" s="66"/>
    </row>
    <row r="676" spans="2:2">
      <c r="B676" s="66"/>
    </row>
    <row r="677" spans="2:2">
      <c r="B677" s="66"/>
    </row>
    <row r="678" spans="2:2">
      <c r="B678" s="66"/>
    </row>
    <row r="679" spans="2:2">
      <c r="B679" s="66"/>
    </row>
    <row r="680" spans="2:2">
      <c r="B680" s="66"/>
    </row>
    <row r="681" spans="2:2">
      <c r="B681" s="66"/>
    </row>
    <row r="682" spans="2:2">
      <c r="B682" s="66"/>
    </row>
    <row r="683" spans="2:2">
      <c r="B683" s="66"/>
    </row>
    <row r="684" spans="2:2">
      <c r="B684" s="66"/>
    </row>
    <row r="685" spans="2:2">
      <c r="B685" s="66"/>
    </row>
    <row r="686" spans="2:2">
      <c r="B686" s="66"/>
    </row>
    <row r="687" spans="2:2">
      <c r="B687" s="66"/>
    </row>
    <row r="688" spans="2:2">
      <c r="B688" s="66"/>
    </row>
    <row r="689" spans="2:2">
      <c r="B689" s="66"/>
    </row>
    <row r="690" spans="2:2">
      <c r="B690" s="66"/>
    </row>
    <row r="691" spans="2:2">
      <c r="B691" s="66"/>
    </row>
    <row r="692" spans="2:2">
      <c r="B692" s="66"/>
    </row>
    <row r="693" spans="2:2">
      <c r="B693" s="66"/>
    </row>
    <row r="694" spans="2:2">
      <c r="B694" s="66"/>
    </row>
    <row r="695" spans="2:2">
      <c r="B695" s="66"/>
    </row>
    <row r="696" spans="2:2">
      <c r="B696" s="66"/>
    </row>
    <row r="697" spans="2:2">
      <c r="B697" s="66"/>
    </row>
    <row r="698" spans="2:2">
      <c r="B698" s="66"/>
    </row>
    <row r="699" spans="2:2">
      <c r="B699" s="66"/>
    </row>
    <row r="700" spans="2:2">
      <c r="B700" s="66"/>
    </row>
    <row r="701" spans="2:2">
      <c r="B701" s="66"/>
    </row>
    <row r="702" spans="2:2">
      <c r="B702" s="66"/>
    </row>
    <row r="703" spans="2:2">
      <c r="B703" s="66"/>
    </row>
    <row r="704" spans="2:2">
      <c r="B704" s="66"/>
    </row>
    <row r="705" spans="2:2">
      <c r="B705" s="66"/>
    </row>
    <row r="706" spans="2:2">
      <c r="B706" s="66"/>
    </row>
    <row r="707" spans="2:2">
      <c r="B707" s="66"/>
    </row>
    <row r="708" spans="2:2">
      <c r="B708" s="66"/>
    </row>
    <row r="709" spans="2:2">
      <c r="B709" s="66"/>
    </row>
    <row r="710" spans="2:2">
      <c r="B710" s="66"/>
    </row>
    <row r="711" spans="2:2">
      <c r="B711" s="66"/>
    </row>
    <row r="712" spans="2:2">
      <c r="B712" s="66"/>
    </row>
    <row r="713" spans="2:2">
      <c r="B713" s="66"/>
    </row>
    <row r="714" spans="2:2">
      <c r="B714" s="66"/>
    </row>
    <row r="715" spans="2:2">
      <c r="B715" s="66"/>
    </row>
    <row r="716" spans="2:2">
      <c r="B716" s="66"/>
    </row>
    <row r="717" spans="2:2">
      <c r="B717" s="66"/>
    </row>
    <row r="718" spans="2:2">
      <c r="B718" s="66"/>
    </row>
    <row r="719" spans="2:2">
      <c r="B719" s="66"/>
    </row>
    <row r="720" spans="2:2">
      <c r="B720" s="66"/>
    </row>
    <row r="721" spans="2:2">
      <c r="B721" s="66"/>
    </row>
    <row r="722" spans="2:2">
      <c r="B722" s="66"/>
    </row>
    <row r="723" spans="2:2">
      <c r="B723" s="66"/>
    </row>
    <row r="724" spans="2:2">
      <c r="B724" s="66"/>
    </row>
    <row r="725" spans="2:2">
      <c r="B725" s="66"/>
    </row>
    <row r="726" spans="2:2">
      <c r="B726" s="66"/>
    </row>
    <row r="727" spans="2:2">
      <c r="B727" s="66"/>
    </row>
    <row r="728" spans="2:2">
      <c r="B728" s="66"/>
    </row>
    <row r="729" spans="2:2">
      <c r="B729" s="66"/>
    </row>
    <row r="730" spans="2:2">
      <c r="B730" s="66"/>
    </row>
    <row r="731" spans="2:2">
      <c r="B731" s="66"/>
    </row>
    <row r="732" spans="2:2">
      <c r="B732" s="66"/>
    </row>
    <row r="733" spans="2:2">
      <c r="B733" s="66"/>
    </row>
    <row r="734" spans="2:2">
      <c r="B734" s="66"/>
    </row>
    <row r="735" spans="2:2">
      <c r="B735" s="66"/>
    </row>
    <row r="736" spans="2:2">
      <c r="B736" s="66"/>
    </row>
    <row r="737" spans="2:2">
      <c r="B737" s="66"/>
    </row>
    <row r="738" spans="2:2">
      <c r="B738" s="66"/>
    </row>
    <row r="739" spans="2:2">
      <c r="B739" s="66"/>
    </row>
    <row r="740" spans="2:2">
      <c r="B740" s="66"/>
    </row>
    <row r="741" spans="2:2">
      <c r="B741" s="66"/>
    </row>
    <row r="742" spans="2:2">
      <c r="B742" s="66"/>
    </row>
    <row r="743" spans="2:2">
      <c r="B743" s="66"/>
    </row>
    <row r="744" spans="2:2">
      <c r="B744" s="66"/>
    </row>
    <row r="745" spans="2:2">
      <c r="B745" s="66"/>
    </row>
    <row r="746" spans="2:2">
      <c r="B746" s="66"/>
    </row>
    <row r="747" spans="2:2">
      <c r="B747" s="66"/>
    </row>
    <row r="748" spans="2:2">
      <c r="B748" s="66"/>
    </row>
    <row r="749" spans="2:2">
      <c r="B749" s="66"/>
    </row>
    <row r="750" spans="2:2">
      <c r="B750" s="66"/>
    </row>
    <row r="751" spans="2:2">
      <c r="B751" s="66"/>
    </row>
    <row r="752" spans="2:2">
      <c r="B752" s="66"/>
    </row>
    <row r="753" spans="2:2">
      <c r="B753" s="66"/>
    </row>
    <row r="754" spans="2:2">
      <c r="B754" s="66"/>
    </row>
    <row r="755" spans="2:2">
      <c r="B755" s="66"/>
    </row>
    <row r="756" spans="2:2">
      <c r="B756" s="66"/>
    </row>
    <row r="757" spans="2:2">
      <c r="B757" s="66"/>
    </row>
    <row r="758" spans="2:2">
      <c r="B758" s="66"/>
    </row>
    <row r="759" spans="2:2">
      <c r="B759" s="66"/>
    </row>
    <row r="760" spans="2:2">
      <c r="B760" s="66"/>
    </row>
    <row r="761" spans="2:2">
      <c r="B761" s="66"/>
    </row>
    <row r="762" spans="2:2">
      <c r="B762" s="66"/>
    </row>
    <row r="763" spans="2:2">
      <c r="B763" s="66"/>
    </row>
    <row r="764" spans="2:2">
      <c r="B764" s="66"/>
    </row>
    <row r="765" spans="2:2">
      <c r="B765" s="66"/>
    </row>
    <row r="766" spans="2:2">
      <c r="B766" s="66"/>
    </row>
    <row r="767" spans="2:2">
      <c r="B767" s="66"/>
    </row>
    <row r="768" spans="2:2">
      <c r="B768" s="66"/>
    </row>
    <row r="769" spans="2:2">
      <c r="B769" s="66"/>
    </row>
    <row r="770" spans="2:2">
      <c r="B770" s="66"/>
    </row>
    <row r="771" spans="2:2">
      <c r="B771" s="66"/>
    </row>
    <row r="772" spans="2:2">
      <c r="B772" s="66"/>
    </row>
    <row r="773" spans="2:2">
      <c r="B773" s="66"/>
    </row>
    <row r="774" spans="2:2">
      <c r="B774" s="66"/>
    </row>
    <row r="775" spans="2:2">
      <c r="B775" s="66"/>
    </row>
    <row r="776" spans="2:2">
      <c r="B776" s="66"/>
    </row>
    <row r="777" spans="2:2">
      <c r="B777" s="66"/>
    </row>
    <row r="778" spans="2:2">
      <c r="B778" s="66"/>
    </row>
    <row r="779" spans="2:2">
      <c r="B779" s="66"/>
    </row>
    <row r="780" spans="2:2">
      <c r="B780" s="66"/>
    </row>
    <row r="781" spans="2:2">
      <c r="B781" s="66"/>
    </row>
    <row r="782" spans="2:2">
      <c r="B782" s="66"/>
    </row>
    <row r="783" spans="2:2">
      <c r="B783" s="66"/>
    </row>
    <row r="784" spans="2:2">
      <c r="B784" s="66"/>
    </row>
    <row r="785" spans="2:2">
      <c r="B785" s="66"/>
    </row>
    <row r="786" spans="2:2">
      <c r="B786" s="66"/>
    </row>
    <row r="787" spans="2:2">
      <c r="B787" s="66"/>
    </row>
    <row r="788" spans="2:2">
      <c r="B788" s="66"/>
    </row>
    <row r="789" spans="2:2">
      <c r="B789" s="66"/>
    </row>
    <row r="790" spans="2:2">
      <c r="B790" s="66"/>
    </row>
    <row r="791" spans="2:2">
      <c r="B791" s="66"/>
    </row>
    <row r="792" spans="2:2">
      <c r="B792" s="66"/>
    </row>
    <row r="793" spans="2:2">
      <c r="B793" s="66"/>
    </row>
    <row r="794" spans="2:2">
      <c r="B794" s="66"/>
    </row>
    <row r="795" spans="2:2">
      <c r="B795" s="66"/>
    </row>
    <row r="796" spans="2:2">
      <c r="B796" s="66"/>
    </row>
    <row r="797" spans="2:2">
      <c r="B797" s="66"/>
    </row>
    <row r="798" spans="2:2">
      <c r="B798" s="66"/>
    </row>
    <row r="799" spans="2:2">
      <c r="B799" s="66"/>
    </row>
    <row r="800" spans="2:2">
      <c r="B800" s="66"/>
    </row>
    <row r="801" spans="2:2">
      <c r="B801" s="66"/>
    </row>
    <row r="802" spans="2:2">
      <c r="B802" s="66"/>
    </row>
    <row r="803" spans="2:2">
      <c r="B803" s="66"/>
    </row>
    <row r="804" spans="2:2">
      <c r="B804" s="66"/>
    </row>
    <row r="805" spans="2:2">
      <c r="B805" s="66"/>
    </row>
    <row r="806" spans="2:2">
      <c r="B806" s="66"/>
    </row>
    <row r="807" spans="2:2">
      <c r="B807" s="66"/>
    </row>
    <row r="808" spans="2:2">
      <c r="B808" s="66"/>
    </row>
    <row r="809" spans="2:2">
      <c r="B809" s="66"/>
    </row>
    <row r="810" spans="2:2">
      <c r="B810" s="66"/>
    </row>
    <row r="811" spans="2:2">
      <c r="B811" s="66"/>
    </row>
    <row r="812" spans="2:2">
      <c r="B812" s="66"/>
    </row>
    <row r="813" spans="2:2">
      <c r="B813" s="66"/>
    </row>
    <row r="814" spans="2:2">
      <c r="B814" s="66"/>
    </row>
    <row r="815" spans="2:2">
      <c r="B815" s="66"/>
    </row>
    <row r="816" spans="2:2">
      <c r="B816" s="66"/>
    </row>
    <row r="817" spans="2:2">
      <c r="B817" s="66"/>
    </row>
    <row r="818" spans="2:2">
      <c r="B818" s="66"/>
    </row>
    <row r="819" spans="2:2">
      <c r="B819" s="66"/>
    </row>
    <row r="820" spans="2:2">
      <c r="B820" s="66"/>
    </row>
    <row r="821" spans="2:2">
      <c r="B821" s="66"/>
    </row>
    <row r="822" spans="2:2">
      <c r="B822" s="66"/>
    </row>
    <row r="823" spans="2:2">
      <c r="B823" s="66"/>
    </row>
    <row r="824" spans="2:2">
      <c r="B824" s="66"/>
    </row>
    <row r="825" spans="2:2">
      <c r="B825" s="66"/>
    </row>
    <row r="826" spans="2:2">
      <c r="B826" s="66"/>
    </row>
    <row r="827" spans="2:2">
      <c r="B827" s="66"/>
    </row>
    <row r="828" spans="2:2">
      <c r="B828" s="66"/>
    </row>
    <row r="829" spans="2:2">
      <c r="B829" s="66"/>
    </row>
    <row r="830" spans="2:2">
      <c r="B830" s="66"/>
    </row>
    <row r="831" spans="2:2">
      <c r="B831" s="66"/>
    </row>
    <row r="832" spans="2:2">
      <c r="B832" s="66"/>
    </row>
    <row r="833" spans="2:2">
      <c r="B833" s="66"/>
    </row>
    <row r="834" spans="2:2">
      <c r="B834" s="66"/>
    </row>
    <row r="835" spans="2:2">
      <c r="B835" s="66"/>
    </row>
    <row r="836" spans="2:2">
      <c r="B836" s="66"/>
    </row>
    <row r="837" spans="2:2">
      <c r="B837" s="66"/>
    </row>
    <row r="838" spans="2:2">
      <c r="B838" s="66"/>
    </row>
    <row r="839" spans="2:2">
      <c r="B839" s="66"/>
    </row>
    <row r="840" spans="2:2">
      <c r="B840" s="66"/>
    </row>
  </sheetData>
  <sheetProtection algorithmName="SHA-512" hashValue="oRir7slBYxoKE1E+wcY6E8XKOZZ/CTHNW2OHuFhnSVM8/wVFPTTgVvedi+0OlOLcQaIcyt1VyyqEn/HQG6HjPg==" saltValue="1ZvIR/mTX/CDFVuwEzo5+w==" spinCount="100000" sheet="1" objects="1" scenarios="1"/>
  <mergeCells count="5">
    <mergeCell ref="B7:C7"/>
    <mergeCell ref="B9:C9"/>
    <mergeCell ref="G50:G55"/>
    <mergeCell ref="P63:P68"/>
    <mergeCell ref="T63:T6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D10EF-DB88-A642-B383-87C1FBDA80DF}">
  <sheetPr codeName="Sheet4"/>
  <dimension ref="B6:S876"/>
  <sheetViews>
    <sheetView showGridLines="0" zoomScaleNormal="100" workbookViewId="0">
      <selection activeCell="B7" sqref="B7:C7"/>
    </sheetView>
  </sheetViews>
  <sheetFormatPr baseColWidth="10" defaultColWidth="10.83203125" defaultRowHeight="15"/>
  <cols>
    <col min="1" max="1" width="1.6640625" style="2" customWidth="1"/>
    <col min="2" max="2" width="4.5" style="2" customWidth="1"/>
    <col min="3" max="3" width="61.83203125" style="2" customWidth="1"/>
    <col min="4" max="4" width="12.1640625" style="2" customWidth="1"/>
    <col min="5" max="9" width="12.83203125" style="2" customWidth="1"/>
    <col min="10" max="13" width="12.83203125" style="2" hidden="1" customWidth="1"/>
    <col min="14" max="14" width="12.83203125" style="2" customWidth="1"/>
    <col min="15" max="17" width="12.1640625" style="2" hidden="1" customWidth="1"/>
    <col min="18" max="18" width="12.1640625" style="4" hidden="1" customWidth="1"/>
    <col min="19" max="19" width="13.1640625" style="2" customWidth="1"/>
    <col min="20" max="16384" width="10.83203125" style="2"/>
  </cols>
  <sheetData>
    <row r="6" spans="2:19">
      <c r="I6" s="79"/>
    </row>
    <row r="7" spans="2:19" ht="21" customHeight="1">
      <c r="B7" s="140" t="s">
        <v>415</v>
      </c>
      <c r="C7" s="140"/>
      <c r="D7" s="1"/>
    </row>
    <row r="9" spans="2:19" s="9" customFormat="1" ht="20" customHeight="1">
      <c r="B9" s="141" t="s">
        <v>71</v>
      </c>
      <c r="C9" s="141"/>
      <c r="D9" s="5" t="s">
        <v>20</v>
      </c>
      <c r="E9" s="6" t="s">
        <v>0</v>
      </c>
      <c r="F9" s="6" t="s">
        <v>1</v>
      </c>
      <c r="G9" s="6" t="s">
        <v>2</v>
      </c>
      <c r="H9" s="5" t="s">
        <v>34</v>
      </c>
      <c r="I9" s="8" t="s">
        <v>6</v>
      </c>
      <c r="J9" s="6" t="s">
        <v>0</v>
      </c>
      <c r="K9" s="6" t="s">
        <v>1</v>
      </c>
      <c r="L9" s="6" t="s">
        <v>2</v>
      </c>
      <c r="M9" s="6" t="s">
        <v>34</v>
      </c>
      <c r="N9" s="8" t="s">
        <v>7</v>
      </c>
      <c r="O9" s="6" t="s">
        <v>8</v>
      </c>
      <c r="P9" s="6" t="s">
        <v>9</v>
      </c>
      <c r="Q9" s="6" t="s">
        <v>11</v>
      </c>
      <c r="R9" s="6" t="s">
        <v>13</v>
      </c>
      <c r="S9" s="8" t="s">
        <v>15</v>
      </c>
    </row>
    <row r="10" spans="2:19">
      <c r="B10" s="10" t="s">
        <v>294</v>
      </c>
      <c r="C10" s="11"/>
      <c r="D10" s="11"/>
      <c r="R10" s="2"/>
    </row>
    <row r="11" spans="2:19" ht="34" customHeight="1">
      <c r="C11" s="11" t="s">
        <v>295</v>
      </c>
      <c r="D11" s="11" t="s">
        <v>35</v>
      </c>
      <c r="E11" s="117">
        <v>85950</v>
      </c>
      <c r="F11" s="118"/>
      <c r="G11" s="117"/>
      <c r="H11" s="144" t="s">
        <v>17</v>
      </c>
      <c r="I11" s="13">
        <f t="shared" ref="I11:I16" si="0">SUM(E11:H11)</f>
        <v>85950</v>
      </c>
      <c r="J11" s="117">
        <v>34465</v>
      </c>
      <c r="K11" s="118">
        <v>0</v>
      </c>
      <c r="L11" s="117">
        <v>0</v>
      </c>
      <c r="M11" s="144" t="s">
        <v>17</v>
      </c>
      <c r="N11" s="13">
        <f t="shared" ref="N11:N16" si="1">SUM(J11:M11)</f>
        <v>34465</v>
      </c>
      <c r="O11" s="12">
        <v>68773</v>
      </c>
      <c r="P11" s="12"/>
      <c r="Q11" s="12"/>
      <c r="R11" s="144" t="s">
        <v>17</v>
      </c>
      <c r="S11" s="13">
        <f t="shared" ref="S11:S16" si="2">SUM(O11:R11)</f>
        <v>68773</v>
      </c>
    </row>
    <row r="12" spans="2:19" ht="17">
      <c r="C12" s="11" t="s">
        <v>296</v>
      </c>
      <c r="D12" s="11" t="s">
        <v>35</v>
      </c>
      <c r="E12" s="117">
        <v>73103</v>
      </c>
      <c r="F12" s="117">
        <v>124663</v>
      </c>
      <c r="G12" s="119"/>
      <c r="H12" s="144"/>
      <c r="I12" s="13">
        <f>SUM(E12:H12)</f>
        <v>197766</v>
      </c>
      <c r="J12" s="117">
        <v>62923</v>
      </c>
      <c r="K12" s="117">
        <v>50568</v>
      </c>
      <c r="L12" s="117">
        <v>0</v>
      </c>
      <c r="M12" s="144"/>
      <c r="N12" s="13">
        <f t="shared" si="1"/>
        <v>113491</v>
      </c>
      <c r="O12" s="12"/>
      <c r="P12" s="12">
        <v>139111</v>
      </c>
      <c r="Q12" s="12">
        <v>45533</v>
      </c>
      <c r="R12" s="144"/>
      <c r="S12" s="13">
        <f t="shared" si="2"/>
        <v>184644</v>
      </c>
    </row>
    <row r="13" spans="2:19" ht="17">
      <c r="C13" s="11" t="s">
        <v>297</v>
      </c>
      <c r="D13" s="11" t="s">
        <v>35</v>
      </c>
      <c r="E13" s="117"/>
      <c r="F13" s="118">
        <v>40826</v>
      </c>
      <c r="G13" s="117"/>
      <c r="H13" s="144"/>
      <c r="I13" s="13">
        <f t="shared" si="0"/>
        <v>40826</v>
      </c>
      <c r="J13" s="117"/>
      <c r="K13" s="118">
        <v>36242</v>
      </c>
      <c r="L13" s="117">
        <v>0</v>
      </c>
      <c r="M13" s="144"/>
      <c r="N13" s="13">
        <f t="shared" si="1"/>
        <v>36242</v>
      </c>
      <c r="O13" s="12"/>
      <c r="P13" s="12"/>
      <c r="Q13" s="12"/>
      <c r="R13" s="144"/>
      <c r="S13" s="13">
        <f t="shared" si="2"/>
        <v>0</v>
      </c>
    </row>
    <row r="14" spans="2:19" ht="17">
      <c r="C14" s="11" t="s">
        <v>298</v>
      </c>
      <c r="D14" s="11" t="s">
        <v>35</v>
      </c>
      <c r="E14" s="117"/>
      <c r="F14" s="117"/>
      <c r="G14" s="117"/>
      <c r="H14" s="144"/>
      <c r="I14" s="13">
        <f t="shared" si="0"/>
        <v>0</v>
      </c>
      <c r="J14" s="117">
        <v>3805</v>
      </c>
      <c r="K14" s="117"/>
      <c r="L14" s="117">
        <v>0</v>
      </c>
      <c r="M14" s="144"/>
      <c r="N14" s="13">
        <f t="shared" si="1"/>
        <v>3805</v>
      </c>
      <c r="O14" s="12">
        <v>12962</v>
      </c>
      <c r="P14" s="12"/>
      <c r="Q14" s="12"/>
      <c r="R14" s="144"/>
      <c r="S14" s="13">
        <f t="shared" si="2"/>
        <v>12962</v>
      </c>
    </row>
    <row r="15" spans="2:19" ht="17">
      <c r="C15" s="11" t="s">
        <v>299</v>
      </c>
      <c r="D15" s="11" t="s">
        <v>35</v>
      </c>
      <c r="E15" s="118">
        <v>1848378</v>
      </c>
      <c r="F15" s="117">
        <v>1116327</v>
      </c>
      <c r="G15" s="117">
        <v>5720</v>
      </c>
      <c r="H15" s="144"/>
      <c r="I15" s="13">
        <f t="shared" si="0"/>
        <v>2970425</v>
      </c>
      <c r="J15" s="118">
        <v>1922080</v>
      </c>
      <c r="K15" s="117">
        <v>1294933</v>
      </c>
      <c r="L15" s="117">
        <v>0</v>
      </c>
      <c r="M15" s="144"/>
      <c r="N15" s="13">
        <f t="shared" si="1"/>
        <v>3217013</v>
      </c>
      <c r="O15" s="12">
        <v>1887736</v>
      </c>
      <c r="P15" s="12">
        <v>1344080</v>
      </c>
      <c r="Q15" s="12">
        <v>186327</v>
      </c>
      <c r="R15" s="144"/>
      <c r="S15" s="13">
        <f t="shared" si="2"/>
        <v>3418143</v>
      </c>
    </row>
    <row r="16" spans="2:19" ht="17">
      <c r="C16" s="11" t="s">
        <v>300</v>
      </c>
      <c r="D16" s="11" t="s">
        <v>35</v>
      </c>
      <c r="E16" s="117"/>
      <c r="F16" s="118">
        <v>20952</v>
      </c>
      <c r="G16" s="117">
        <v>10480</v>
      </c>
      <c r="H16" s="144"/>
      <c r="I16" s="13">
        <f t="shared" si="0"/>
        <v>31432</v>
      </c>
      <c r="J16" s="117"/>
      <c r="K16" s="117"/>
      <c r="L16" s="117">
        <v>7760</v>
      </c>
      <c r="M16" s="144"/>
      <c r="N16" s="13">
        <f t="shared" si="1"/>
        <v>7760</v>
      </c>
      <c r="O16" s="12"/>
      <c r="P16" s="12"/>
      <c r="Q16" s="12"/>
      <c r="R16" s="144"/>
      <c r="S16" s="13">
        <f t="shared" si="2"/>
        <v>0</v>
      </c>
    </row>
    <row r="17" spans="2:19" s="15" customFormat="1" ht="18">
      <c r="C17" s="16" t="s">
        <v>301</v>
      </c>
      <c r="D17" s="16" t="s">
        <v>36</v>
      </c>
      <c r="E17" s="120">
        <f>SUM(E11:E16)</f>
        <v>2007431</v>
      </c>
      <c r="F17" s="120">
        <f>SUM(F11:F16)</f>
        <v>1302768</v>
      </c>
      <c r="G17" s="120">
        <f>SUM(G11:G16)</f>
        <v>16200</v>
      </c>
      <c r="H17" s="144"/>
      <c r="I17" s="121">
        <f>SUM(I11:I16)</f>
        <v>3326399</v>
      </c>
      <c r="J17" s="120">
        <f>SUM(J11:J16)</f>
        <v>2023273</v>
      </c>
      <c r="K17" s="120">
        <f>SUM(K11:K16)</f>
        <v>1381743</v>
      </c>
      <c r="L17" s="120">
        <f>SUM(L11:L16)</f>
        <v>7760</v>
      </c>
      <c r="M17" s="144"/>
      <c r="N17" s="121">
        <f>SUM(N11:N16)</f>
        <v>3412776</v>
      </c>
      <c r="O17" s="120">
        <f>SUM(O11:O16)</f>
        <v>1969471</v>
      </c>
      <c r="P17" s="120">
        <f>SUM(P11:P16)</f>
        <v>1483191</v>
      </c>
      <c r="Q17" s="120">
        <f>SUM(Q11:Q16)</f>
        <v>231860</v>
      </c>
      <c r="R17" s="144"/>
      <c r="S17" s="121">
        <f>SUM(S11:S16)</f>
        <v>3684522</v>
      </c>
    </row>
    <row r="18" spans="2:19" ht="16">
      <c r="C18" s="11" t="s">
        <v>302</v>
      </c>
      <c r="D18" s="11" t="s">
        <v>25</v>
      </c>
      <c r="E18" s="122">
        <f>(E15+E14)/E17</f>
        <v>0.92076788691616296</v>
      </c>
      <c r="F18" s="122">
        <f>(F15+F14)/F17</f>
        <v>0.856888563428024</v>
      </c>
      <c r="G18" s="122">
        <f>(G15+G14)/G17</f>
        <v>0.35308641975308641</v>
      </c>
      <c r="H18" s="144"/>
      <c r="I18" s="24">
        <f>(I15+I14)/I17</f>
        <v>0.89298517706384595</v>
      </c>
      <c r="J18" s="122">
        <f>(J15+J14)/J17</f>
        <v>0.95186611001085863</v>
      </c>
      <c r="K18" s="122">
        <f>(K15+K14)/K17</f>
        <v>0.93717355542962766</v>
      </c>
      <c r="L18" s="81" t="s">
        <v>17</v>
      </c>
      <c r="M18" s="144"/>
      <c r="N18" s="24">
        <f>(N15+N14)/N17</f>
        <v>0.94375312062672734</v>
      </c>
      <c r="O18" s="122">
        <f>(O15+O14)/O17</f>
        <v>0.9650804708472478</v>
      </c>
      <c r="P18" s="122">
        <f>(P15+P14)/P17</f>
        <v>0.90620830358328763</v>
      </c>
      <c r="Q18" s="122">
        <f>(Q15+Q14)/Q17</f>
        <v>0.80361856292590361</v>
      </c>
      <c r="R18" s="144"/>
      <c r="S18" s="24">
        <f>(S15+S14)/S17</f>
        <v>0.93122120047050883</v>
      </c>
    </row>
    <row r="19" spans="2:19" ht="17">
      <c r="C19" s="11" t="s">
        <v>303</v>
      </c>
      <c r="D19" s="11" t="s">
        <v>37</v>
      </c>
      <c r="E19" s="83">
        <f>E17/[1]Negocio!D11</f>
        <v>4.6317243066018472</v>
      </c>
      <c r="F19" s="83">
        <f>F17/[1]Negocio!E11</f>
        <v>2.9543033246933486</v>
      </c>
      <c r="G19" s="81" t="s">
        <v>17</v>
      </c>
      <c r="H19" s="144"/>
      <c r="I19" s="84">
        <f>I17/[1]Negocio!K11</f>
        <v>3.8042857698351522</v>
      </c>
      <c r="J19" s="83">
        <f>J17/[1]Negocio!L11</f>
        <v>4.9072478250218889</v>
      </c>
      <c r="K19" s="83">
        <f>K17/[1]Negocio!M11</f>
        <v>3.2724191749222595</v>
      </c>
      <c r="L19" s="81" t="s">
        <v>17</v>
      </c>
      <c r="M19" s="144"/>
      <c r="N19" s="84">
        <f>N17/[1]Negocio!S11</f>
        <v>4.0893999343352405</v>
      </c>
      <c r="O19" s="83">
        <f>O17/[1]Negocio!T11</f>
        <v>4.7531006021406768</v>
      </c>
      <c r="P19" s="83">
        <f>P17/[1]Negocio!U11</f>
        <v>3.5439459611864836</v>
      </c>
      <c r="Q19" s="83">
        <f>Q17/[1]Negocio!W11</f>
        <v>4.2500229126569513</v>
      </c>
      <c r="R19" s="144"/>
      <c r="S19" s="84">
        <f>S17/[1]Negocio!AA11</f>
        <v>4.1519296300302901</v>
      </c>
    </row>
    <row r="20" spans="2:19" ht="17">
      <c r="C20" s="11" t="s">
        <v>304</v>
      </c>
      <c r="D20" s="11" t="s">
        <v>38</v>
      </c>
      <c r="E20" s="123">
        <f>E17/[1]Negocio!D14</f>
        <v>0.31855706699703584</v>
      </c>
      <c r="F20" s="123">
        <f>F17/[1]Negocio!E14</f>
        <v>0.54288650359669055</v>
      </c>
      <c r="G20" s="81" t="s">
        <v>17</v>
      </c>
      <c r="H20" s="144"/>
      <c r="I20" s="124">
        <f>I17/[1]Negocio!K14</f>
        <v>0.38228570003504059</v>
      </c>
      <c r="J20" s="83">
        <f>J17/[1]Negocio!L14</f>
        <v>0.30658656992587002</v>
      </c>
      <c r="K20" s="83">
        <f>K17/[1]Negocio!M14</f>
        <v>0.58352309103470879</v>
      </c>
      <c r="L20" s="81" t="s">
        <v>17</v>
      </c>
      <c r="M20" s="144"/>
      <c r="N20" s="84">
        <f>N17/[1]Negocio!S14</f>
        <v>0.38058074433900563</v>
      </c>
      <c r="O20" s="83">
        <f>O17/[1]Negocio!T14</f>
        <v>0.36478933684415438</v>
      </c>
      <c r="P20" s="83">
        <f>P17/[1]Negocio!U14</f>
        <v>0.60204897603966923</v>
      </c>
      <c r="Q20" s="83">
        <f>Q17/[1]Negocio!W14</f>
        <v>0.59566137783623807</v>
      </c>
      <c r="R20" s="144"/>
      <c r="S20" s="84">
        <f>S17/[1]Negocio!AA14</f>
        <v>0.44651417451359088</v>
      </c>
    </row>
    <row r="21" spans="2:19" ht="17">
      <c r="C21" s="11" t="s">
        <v>305</v>
      </c>
      <c r="D21" s="11" t="s">
        <v>37</v>
      </c>
      <c r="E21" s="123">
        <f>(E11+E12)/[1]Negocio!D11</f>
        <v>0.36698130403383411</v>
      </c>
      <c r="F21" s="123">
        <f>(F11+F12)/[1]Negocio!E11</f>
        <v>0.28269984783648888</v>
      </c>
      <c r="G21" s="81" t="s">
        <v>17</v>
      </c>
      <c r="H21" s="144"/>
      <c r="I21" s="84">
        <f>(I11+I12)/[1]Negocio!K11</f>
        <v>0.32447602992742303</v>
      </c>
      <c r="J21" s="83">
        <f>(J11+J12)/[1]Negocio!L11</f>
        <v>0.23620492695905682</v>
      </c>
      <c r="K21" s="83">
        <f>(K11+K12)/[1]Negocio!M11</f>
        <v>0.11976155684339912</v>
      </c>
      <c r="L21" s="81" t="s">
        <v>17</v>
      </c>
      <c r="M21" s="144"/>
      <c r="N21" s="84">
        <f>(N11+N12)/[1]Negocio!S11</f>
        <v>0.17729005849915283</v>
      </c>
      <c r="O21" s="83">
        <f>(O11+O12)/[1]Negocio!T11</f>
        <v>0.16597603504241532</v>
      </c>
      <c r="P21" s="83">
        <f>(P11+P12)/[1]Negocio!U11</f>
        <v>0.3323927037088365</v>
      </c>
      <c r="Q21" s="83">
        <f>(Q11+Q12)/[1]Negocio!W11</f>
        <v>0.83462560718540924</v>
      </c>
      <c r="R21" s="144"/>
      <c r="S21" s="84">
        <f>(S11+S12)/[1]Negocio!AA11</f>
        <v>0.28556473568440788</v>
      </c>
    </row>
    <row r="22" spans="2:19" ht="17">
      <c r="C22" s="11" t="s">
        <v>306</v>
      </c>
      <c r="D22" s="11" t="s">
        <v>38</v>
      </c>
      <c r="E22" s="123">
        <f>(E11+E12)/[1]Negocio!D14</f>
        <v>2.5239949555964585E-2</v>
      </c>
      <c r="F22" s="123">
        <f>(F11+F12)/[1]Negocio!E14</f>
        <v>5.194928045352222E-2</v>
      </c>
      <c r="G22" s="81" t="s">
        <v>17</v>
      </c>
      <c r="H22" s="144"/>
      <c r="I22" s="124">
        <f>(I11+I12)/[1]Negocio!K14</f>
        <v>3.2606001165567201E-2</v>
      </c>
      <c r="J22" s="83">
        <f>(J11+J12)/[1]Negocio!L14</f>
        <v>1.4757204228960021E-2</v>
      </c>
      <c r="K22" s="83">
        <f>(K11+K12)/[1]Negocio!M14</f>
        <v>2.1355342974375954E-2</v>
      </c>
      <c r="L22" s="81" t="s">
        <v>17</v>
      </c>
      <c r="M22" s="144"/>
      <c r="N22" s="84">
        <f>(N11+N12)/[1]Negocio!S14</f>
        <v>1.649953135202015E-2</v>
      </c>
      <c r="O22" s="83">
        <f>(O11+O12)/[1]Negocio!T14</f>
        <v>1.2738271882542587E-2</v>
      </c>
      <c r="P22" s="83">
        <f>(P11+P12)/[1]Negocio!U14</f>
        <v>5.6467194788705183E-2</v>
      </c>
      <c r="Q22" s="83">
        <f>(Q11+Q12)/[1]Negocio!W14</f>
        <v>0.11697683738901678</v>
      </c>
      <c r="R22" s="144"/>
      <c r="S22" s="84">
        <f>(S11+S12)/[1]Negocio!AA14</f>
        <v>3.0710708895946518E-2</v>
      </c>
    </row>
    <row r="23" spans="2:19" ht="17">
      <c r="C23" s="11" t="s">
        <v>307</v>
      </c>
      <c r="D23" s="11" t="s">
        <v>35</v>
      </c>
      <c r="E23" s="117">
        <v>8651121</v>
      </c>
      <c r="F23" s="117">
        <v>0</v>
      </c>
      <c r="G23" s="117">
        <v>4438</v>
      </c>
      <c r="H23" s="144"/>
      <c r="I23" s="13">
        <f>SUM(E23:H23)</f>
        <v>8655559</v>
      </c>
      <c r="J23" s="117">
        <v>8450855</v>
      </c>
      <c r="K23" s="117">
        <v>0</v>
      </c>
      <c r="L23" s="117">
        <v>5184</v>
      </c>
      <c r="M23" s="144"/>
      <c r="N23" s="13">
        <f>SUM(J23:M23)</f>
        <v>8456039</v>
      </c>
      <c r="O23" s="117">
        <v>9690131</v>
      </c>
      <c r="P23" s="117">
        <v>0</v>
      </c>
      <c r="Q23" s="117">
        <v>0</v>
      </c>
      <c r="R23" s="144"/>
      <c r="S23" s="13">
        <f>SUM(O23:R23)</f>
        <v>9690131</v>
      </c>
    </row>
    <row r="24" spans="2:19" ht="16" customHeight="1" thickBot="1">
      <c r="B24" s="27"/>
      <c r="C24" s="28"/>
      <c r="D24" s="28"/>
      <c r="E24" s="28"/>
      <c r="F24" s="28"/>
      <c r="G24" s="28"/>
      <c r="H24" s="28"/>
      <c r="I24" s="28"/>
      <c r="J24" s="28"/>
      <c r="K24" s="28"/>
      <c r="L24" s="28"/>
      <c r="M24" s="28"/>
      <c r="N24" s="28"/>
      <c r="O24" s="27"/>
      <c r="P24" s="27"/>
      <c r="Q24" s="29"/>
      <c r="R24" s="29"/>
      <c r="S24" s="29"/>
    </row>
    <row r="25" spans="2:19">
      <c r="B25" s="10" t="s">
        <v>308</v>
      </c>
      <c r="C25" s="11"/>
      <c r="D25" s="11"/>
      <c r="R25" s="2"/>
    </row>
    <row r="26" spans="2:19" ht="16">
      <c r="C26" s="11" t="s">
        <v>309</v>
      </c>
      <c r="D26" s="11" t="s">
        <v>39</v>
      </c>
      <c r="E26" s="80">
        <v>1.01</v>
      </c>
      <c r="F26" s="80">
        <v>0</v>
      </c>
      <c r="G26" s="80">
        <v>0.83950000000000002</v>
      </c>
      <c r="H26" s="80"/>
      <c r="I26" s="125">
        <v>1.8494999999999999</v>
      </c>
      <c r="J26" s="80">
        <v>3.28</v>
      </c>
      <c r="K26" s="80">
        <v>0</v>
      </c>
      <c r="L26" s="80">
        <v>2.5</v>
      </c>
      <c r="M26" s="80"/>
      <c r="N26" s="125">
        <v>5.7799999999999994</v>
      </c>
      <c r="O26" s="80">
        <v>1.99</v>
      </c>
      <c r="P26" s="80">
        <v>1</v>
      </c>
      <c r="Q26" s="80">
        <v>1.6</v>
      </c>
      <c r="R26" s="80"/>
      <c r="S26" s="125">
        <v>4.59</v>
      </c>
    </row>
    <row r="27" spans="2:19" ht="16" customHeight="1">
      <c r="C27" s="11" t="s">
        <v>310</v>
      </c>
      <c r="D27" s="11" t="s">
        <v>39</v>
      </c>
      <c r="E27" s="80">
        <v>3.11</v>
      </c>
      <c r="F27" s="80">
        <v>1</v>
      </c>
      <c r="G27" s="80">
        <v>3.3721000000000001</v>
      </c>
      <c r="H27" s="80">
        <v>29.3</v>
      </c>
      <c r="I27" s="125">
        <v>36.7821</v>
      </c>
      <c r="J27" s="80">
        <v>0</v>
      </c>
      <c r="K27" s="80">
        <v>5.0273000000000003</v>
      </c>
      <c r="L27" s="80"/>
      <c r="M27" s="80"/>
      <c r="N27" s="125">
        <v>5.0273000000000003</v>
      </c>
      <c r="O27" s="80">
        <v>0</v>
      </c>
      <c r="P27" s="80">
        <v>0</v>
      </c>
      <c r="Q27" s="80">
        <v>0</v>
      </c>
      <c r="R27" s="80">
        <v>39.869999999999997</v>
      </c>
      <c r="S27" s="125">
        <v>39.869999999999997</v>
      </c>
    </row>
    <row r="28" spans="2:19" s="9" customFormat="1" ht="16">
      <c r="C28" s="126" t="s">
        <v>311</v>
      </c>
      <c r="D28" s="11" t="s">
        <v>39</v>
      </c>
      <c r="E28" s="127">
        <v>4.12</v>
      </c>
      <c r="F28" s="127">
        <v>1</v>
      </c>
      <c r="G28" s="127">
        <v>4.2115999999999998</v>
      </c>
      <c r="H28" s="127">
        <v>29.3</v>
      </c>
      <c r="I28" s="128">
        <v>38.631599999999999</v>
      </c>
      <c r="J28" s="127">
        <v>3.28</v>
      </c>
      <c r="K28" s="127">
        <v>5.0273000000000003</v>
      </c>
      <c r="L28" s="127">
        <v>2.5</v>
      </c>
      <c r="M28" s="127">
        <v>0</v>
      </c>
      <c r="N28" s="128">
        <v>10.8073</v>
      </c>
      <c r="O28" s="127">
        <v>1.99</v>
      </c>
      <c r="P28" s="127">
        <v>1</v>
      </c>
      <c r="Q28" s="127">
        <v>1.6</v>
      </c>
      <c r="R28" s="127">
        <v>39.869999999999997</v>
      </c>
      <c r="S28" s="129">
        <v>44.459999999999994</v>
      </c>
    </row>
    <row r="29" spans="2:19" ht="16">
      <c r="C29" s="11" t="s">
        <v>312</v>
      </c>
      <c r="D29" s="11" t="s">
        <v>39</v>
      </c>
      <c r="E29" s="80">
        <v>10.51</v>
      </c>
      <c r="F29" s="80">
        <v>4.7</v>
      </c>
      <c r="G29" s="80">
        <v>0.83950000000000002</v>
      </c>
      <c r="H29" s="80">
        <v>0</v>
      </c>
      <c r="I29" s="125">
        <v>16.049500000000002</v>
      </c>
      <c r="J29" s="80">
        <v>9.5</v>
      </c>
      <c r="K29" s="80">
        <v>4.7</v>
      </c>
      <c r="L29" s="80"/>
      <c r="M29" s="80"/>
      <c r="N29" s="125">
        <v>14.2</v>
      </c>
      <c r="O29" s="80">
        <v>6.22</v>
      </c>
      <c r="P29" s="80">
        <v>4.7</v>
      </c>
      <c r="Q29" s="80">
        <v>1.6</v>
      </c>
      <c r="R29" s="80">
        <v>0</v>
      </c>
      <c r="S29" s="125">
        <v>12.52</v>
      </c>
    </row>
    <row r="30" spans="2:19" ht="16">
      <c r="C30" s="11" t="s">
        <v>313</v>
      </c>
      <c r="D30" s="11" t="s">
        <v>39</v>
      </c>
      <c r="E30" s="80">
        <v>23.248999999999999</v>
      </c>
      <c r="F30" s="80">
        <v>13.5273</v>
      </c>
      <c r="G30" s="80">
        <v>3.3721000000000001</v>
      </c>
      <c r="H30" s="80">
        <v>0</v>
      </c>
      <c r="I30" s="125">
        <v>40.148400000000002</v>
      </c>
      <c r="J30" s="80">
        <v>20.138999999999999</v>
      </c>
      <c r="K30" s="80">
        <v>12.5273</v>
      </c>
      <c r="L30" s="80"/>
      <c r="M30" s="80"/>
      <c r="N30" s="125">
        <v>32.6663</v>
      </c>
      <c r="O30" s="80">
        <v>20.138999999999999</v>
      </c>
      <c r="P30" s="80">
        <v>7.5</v>
      </c>
      <c r="Q30" s="80">
        <v>0</v>
      </c>
      <c r="R30" s="80">
        <v>143.37989999999999</v>
      </c>
      <c r="S30" s="125">
        <v>171.0189</v>
      </c>
    </row>
    <row r="31" spans="2:19" s="9" customFormat="1" ht="16">
      <c r="C31" s="126" t="s">
        <v>314</v>
      </c>
      <c r="D31" s="11" t="s">
        <v>39</v>
      </c>
      <c r="E31" s="127">
        <v>33.759</v>
      </c>
      <c r="F31" s="127">
        <v>18.2273</v>
      </c>
      <c r="G31" s="127">
        <v>4.2115999999999998</v>
      </c>
      <c r="H31" s="127">
        <v>0</v>
      </c>
      <c r="I31" s="128">
        <v>56.197900000000004</v>
      </c>
      <c r="J31" s="127">
        <v>29.638999999999999</v>
      </c>
      <c r="K31" s="127">
        <v>17.2273</v>
      </c>
      <c r="L31" s="127">
        <v>0</v>
      </c>
      <c r="M31" s="127">
        <v>0</v>
      </c>
      <c r="N31" s="128">
        <v>46.866299999999995</v>
      </c>
      <c r="O31" s="127">
        <v>26.358999999999998</v>
      </c>
      <c r="P31" s="127">
        <v>12.2</v>
      </c>
      <c r="Q31" s="127">
        <v>1.6</v>
      </c>
      <c r="R31" s="127">
        <v>143.37989999999999</v>
      </c>
      <c r="S31" s="129">
        <v>183.53889999999998</v>
      </c>
    </row>
    <row r="32" spans="2:19" ht="16">
      <c r="C32" s="11" t="s">
        <v>315</v>
      </c>
      <c r="D32" s="11" t="s">
        <v>39</v>
      </c>
      <c r="E32" s="80">
        <v>0</v>
      </c>
      <c r="F32" s="80">
        <v>0</v>
      </c>
      <c r="G32" s="80">
        <v>15.3</v>
      </c>
      <c r="H32" s="80"/>
      <c r="I32" s="125">
        <v>15.3</v>
      </c>
      <c r="J32" s="80">
        <v>5.58</v>
      </c>
      <c r="K32" s="80"/>
      <c r="L32" s="80">
        <v>7.7</v>
      </c>
      <c r="M32" s="80"/>
      <c r="N32" s="125">
        <v>13.280000000000001</v>
      </c>
      <c r="O32" s="80">
        <v>0.74399999999999999</v>
      </c>
      <c r="P32" s="80">
        <v>3.9</v>
      </c>
      <c r="Q32" s="80">
        <v>0</v>
      </c>
      <c r="R32" s="80">
        <v>0</v>
      </c>
      <c r="S32" s="125">
        <v>4.6440000000000001</v>
      </c>
    </row>
    <row r="33" spans="2:19" s="9" customFormat="1" ht="16">
      <c r="C33" s="126" t="s">
        <v>316</v>
      </c>
      <c r="D33" s="11" t="s">
        <v>39</v>
      </c>
      <c r="E33" s="127">
        <v>42.704000000000001</v>
      </c>
      <c r="F33" s="127">
        <v>27.279199999999999</v>
      </c>
      <c r="G33" s="127">
        <v>13.445</v>
      </c>
      <c r="H33" s="127">
        <v>3.1059999999999999</v>
      </c>
      <c r="I33" s="129">
        <v>86.534199999999998</v>
      </c>
      <c r="J33" s="127">
        <v>42.704000000000001</v>
      </c>
      <c r="K33" s="127">
        <v>27.279199999999999</v>
      </c>
      <c r="L33" s="127">
        <v>13.445</v>
      </c>
      <c r="M33" s="127">
        <v>3.1059999999999999</v>
      </c>
      <c r="N33" s="129">
        <v>86.534199999999998</v>
      </c>
      <c r="O33" s="127">
        <v>37.124000000000002</v>
      </c>
      <c r="P33" s="127">
        <v>27.279199999999999</v>
      </c>
      <c r="Q33" s="127">
        <v>0.70540000000000003</v>
      </c>
      <c r="R33" s="127">
        <v>3.1059999999999999</v>
      </c>
      <c r="S33" s="129">
        <v>68.21459999999999</v>
      </c>
    </row>
    <row r="34" spans="2:19" ht="16">
      <c r="C34" s="11" t="s">
        <v>317</v>
      </c>
      <c r="D34" s="11" t="s">
        <v>39</v>
      </c>
      <c r="E34" s="12">
        <v>3790</v>
      </c>
      <c r="F34" s="12">
        <v>3511</v>
      </c>
      <c r="G34" s="12">
        <v>2110</v>
      </c>
      <c r="H34" s="12">
        <v>49169</v>
      </c>
      <c r="I34" s="13">
        <v>58580</v>
      </c>
      <c r="J34" s="12">
        <v>3770</v>
      </c>
      <c r="K34" s="12">
        <v>5541</v>
      </c>
      <c r="L34" s="12">
        <v>1699</v>
      </c>
      <c r="M34" s="12">
        <v>50895</v>
      </c>
      <c r="N34" s="13">
        <v>61905</v>
      </c>
      <c r="O34" s="12">
        <v>2600</v>
      </c>
      <c r="P34" s="12">
        <v>2760</v>
      </c>
      <c r="Q34" s="12">
        <v>3294</v>
      </c>
      <c r="R34" s="12">
        <v>46101</v>
      </c>
      <c r="S34" s="125">
        <v>54755</v>
      </c>
    </row>
    <row r="35" spans="2:19" ht="16">
      <c r="C35" s="11" t="s">
        <v>318</v>
      </c>
      <c r="D35" s="11" t="s">
        <v>39</v>
      </c>
      <c r="E35" s="101">
        <v>0.8</v>
      </c>
      <c r="F35" s="101">
        <v>0.9</v>
      </c>
      <c r="G35" s="130">
        <v>0.80499999999999994</v>
      </c>
      <c r="H35" s="130">
        <v>0.45</v>
      </c>
      <c r="I35" s="131">
        <v>0.71666666666666679</v>
      </c>
      <c r="J35" s="101">
        <v>0.7</v>
      </c>
      <c r="K35" s="101">
        <v>0.9</v>
      </c>
      <c r="L35" s="81" t="s">
        <v>17</v>
      </c>
      <c r="M35" s="101">
        <v>0.8</v>
      </c>
      <c r="N35" s="131">
        <v>0.80000000000000016</v>
      </c>
      <c r="O35" s="101">
        <v>0.83</v>
      </c>
      <c r="P35" s="101">
        <v>0.9</v>
      </c>
      <c r="Q35" s="101">
        <v>0.9</v>
      </c>
      <c r="R35" s="101">
        <v>0.7</v>
      </c>
      <c r="S35" s="131">
        <v>0.83250000000000002</v>
      </c>
    </row>
    <row r="36" spans="2:19" ht="16">
      <c r="C36" s="11" t="s">
        <v>319</v>
      </c>
      <c r="D36" s="11" t="s">
        <v>40</v>
      </c>
      <c r="E36" s="12">
        <v>7</v>
      </c>
      <c r="F36" s="12">
        <v>5</v>
      </c>
      <c r="G36" s="12">
        <v>5</v>
      </c>
      <c r="H36" s="39" t="s">
        <v>17</v>
      </c>
      <c r="I36" s="13">
        <v>17</v>
      </c>
      <c r="J36" s="12">
        <v>20</v>
      </c>
      <c r="K36" s="12">
        <v>9</v>
      </c>
      <c r="L36" s="12">
        <v>12</v>
      </c>
      <c r="M36" s="39" t="s">
        <v>17</v>
      </c>
      <c r="N36" s="13">
        <v>41</v>
      </c>
      <c r="O36" s="12"/>
      <c r="P36" s="12"/>
      <c r="Q36" s="12"/>
      <c r="R36" s="12"/>
      <c r="S36" s="125">
        <v>0</v>
      </c>
    </row>
    <row r="37" spans="2:19" ht="16">
      <c r="C37" s="11" t="s">
        <v>320</v>
      </c>
      <c r="D37" s="11" t="s">
        <v>40</v>
      </c>
      <c r="E37" s="12">
        <v>5</v>
      </c>
      <c r="F37" s="12">
        <v>3</v>
      </c>
      <c r="G37" s="12">
        <v>3</v>
      </c>
      <c r="H37" s="39" t="s">
        <v>17</v>
      </c>
      <c r="I37" s="13">
        <v>11</v>
      </c>
      <c r="J37" s="12">
        <v>3</v>
      </c>
      <c r="K37" s="12">
        <v>10</v>
      </c>
      <c r="L37" s="12">
        <v>30</v>
      </c>
      <c r="M37" s="39" t="s">
        <v>17</v>
      </c>
      <c r="N37" s="13">
        <v>43</v>
      </c>
      <c r="O37" s="12"/>
      <c r="P37" s="12"/>
      <c r="Q37" s="12"/>
      <c r="R37" s="12"/>
      <c r="S37" s="113">
        <v>22</v>
      </c>
    </row>
    <row r="38" spans="2:19">
      <c r="B38" s="26" t="s">
        <v>321</v>
      </c>
      <c r="C38" s="11"/>
      <c r="D38" s="11"/>
      <c r="E38" s="12"/>
      <c r="F38" s="12"/>
      <c r="G38" s="12"/>
      <c r="I38" s="39"/>
      <c r="J38" s="12"/>
      <c r="K38" s="12"/>
      <c r="L38" s="12"/>
      <c r="N38" s="39"/>
      <c r="O38" s="12"/>
      <c r="P38" s="12"/>
      <c r="Q38" s="12"/>
      <c r="R38" s="12"/>
      <c r="S38" s="12"/>
    </row>
    <row r="39" spans="2:19" ht="16" customHeight="1" thickBot="1">
      <c r="B39" s="27"/>
      <c r="C39" s="28"/>
      <c r="D39" s="28"/>
      <c r="E39" s="27"/>
      <c r="F39" s="27"/>
      <c r="G39" s="27"/>
      <c r="H39" s="27"/>
      <c r="I39" s="132"/>
      <c r="J39" s="133"/>
      <c r="K39" s="27"/>
      <c r="L39" s="27"/>
      <c r="M39" s="27"/>
      <c r="N39" s="27"/>
      <c r="O39" s="27"/>
      <c r="P39" s="27"/>
      <c r="Q39" s="29"/>
      <c r="R39" s="29"/>
      <c r="S39" s="29"/>
    </row>
    <row r="40" spans="2:19">
      <c r="C40" s="66"/>
      <c r="R40" s="2"/>
    </row>
    <row r="41" spans="2:19">
      <c r="B41" s="66"/>
      <c r="D41" s="66"/>
      <c r="E41" s="66"/>
      <c r="F41" s="66"/>
    </row>
    <row r="42" spans="2:19">
      <c r="B42" s="66"/>
      <c r="D42" s="66"/>
      <c r="E42" s="66"/>
      <c r="F42" s="66"/>
    </row>
    <row r="43" spans="2:19">
      <c r="B43" s="66"/>
      <c r="D43" s="66"/>
      <c r="E43" s="66"/>
      <c r="F43" s="66"/>
    </row>
    <row r="44" spans="2:19">
      <c r="B44" s="66"/>
      <c r="D44" s="66"/>
      <c r="E44" s="66"/>
      <c r="F44" s="66"/>
    </row>
    <row r="45" spans="2:19">
      <c r="B45" s="66"/>
      <c r="D45" s="66"/>
      <c r="E45" s="66"/>
      <c r="F45" s="66"/>
    </row>
    <row r="46" spans="2:19">
      <c r="B46" s="66"/>
      <c r="D46" s="66"/>
      <c r="E46" s="66"/>
      <c r="F46" s="66"/>
    </row>
    <row r="47" spans="2:19">
      <c r="B47" s="66"/>
      <c r="D47" s="66"/>
      <c r="E47" s="66"/>
      <c r="F47" s="66"/>
    </row>
    <row r="48" spans="2:19">
      <c r="B48" s="66"/>
      <c r="D48" s="66"/>
      <c r="E48" s="66"/>
      <c r="F48" s="66"/>
    </row>
    <row r="49" spans="2:6">
      <c r="B49" s="66"/>
      <c r="D49" s="66"/>
      <c r="E49" s="66"/>
      <c r="F49" s="66"/>
    </row>
    <row r="50" spans="2:6">
      <c r="B50" s="66"/>
      <c r="D50" s="66"/>
      <c r="E50" s="66"/>
      <c r="F50" s="66"/>
    </row>
    <row r="51" spans="2:6">
      <c r="B51" s="66"/>
      <c r="D51" s="66"/>
      <c r="E51" s="66"/>
      <c r="F51" s="66"/>
    </row>
    <row r="52" spans="2:6">
      <c r="B52" s="66"/>
      <c r="D52" s="66"/>
      <c r="E52" s="66"/>
      <c r="F52" s="66"/>
    </row>
    <row r="53" spans="2:6">
      <c r="B53" s="66"/>
    </row>
    <row r="54" spans="2:6">
      <c r="B54" s="66"/>
    </row>
    <row r="55" spans="2:6">
      <c r="B55" s="66"/>
    </row>
    <row r="56" spans="2:6">
      <c r="B56" s="66"/>
    </row>
    <row r="57" spans="2:6">
      <c r="B57" s="66"/>
    </row>
    <row r="58" spans="2:6">
      <c r="B58" s="66"/>
    </row>
    <row r="59" spans="2:6">
      <c r="B59" s="66"/>
    </row>
    <row r="60" spans="2:6">
      <c r="B60" s="66"/>
    </row>
    <row r="61" spans="2:6">
      <c r="B61" s="66"/>
    </row>
    <row r="62" spans="2:6">
      <c r="B62" s="66"/>
    </row>
    <row r="63" spans="2:6">
      <c r="B63" s="66"/>
    </row>
    <row r="64" spans="2:6">
      <c r="B64" s="66"/>
    </row>
    <row r="65" spans="2:2">
      <c r="B65" s="66"/>
    </row>
    <row r="66" spans="2:2">
      <c r="B66" s="66"/>
    </row>
    <row r="67" spans="2:2">
      <c r="B67" s="66"/>
    </row>
    <row r="68" spans="2:2">
      <c r="B68" s="66"/>
    </row>
    <row r="69" spans="2:2">
      <c r="B69" s="66"/>
    </row>
    <row r="70" spans="2:2">
      <c r="B70" s="66"/>
    </row>
    <row r="71" spans="2:2">
      <c r="B71" s="66"/>
    </row>
    <row r="72" spans="2:2">
      <c r="B72" s="66"/>
    </row>
    <row r="73" spans="2:2">
      <c r="B73" s="66"/>
    </row>
    <row r="74" spans="2:2">
      <c r="B74" s="66"/>
    </row>
    <row r="75" spans="2:2">
      <c r="B75" s="66"/>
    </row>
    <row r="76" spans="2:2">
      <c r="B76" s="66"/>
    </row>
    <row r="77" spans="2:2">
      <c r="B77" s="66"/>
    </row>
    <row r="78" spans="2:2">
      <c r="B78" s="66"/>
    </row>
    <row r="79" spans="2:2">
      <c r="B79" s="66"/>
    </row>
    <row r="80" spans="2:2">
      <c r="B80" s="66"/>
    </row>
    <row r="81" spans="2:2">
      <c r="B81" s="66"/>
    </row>
    <row r="82" spans="2:2">
      <c r="B82" s="66"/>
    </row>
    <row r="83" spans="2:2">
      <c r="B83" s="66"/>
    </row>
    <row r="84" spans="2:2">
      <c r="B84" s="66"/>
    </row>
    <row r="85" spans="2:2">
      <c r="B85" s="66"/>
    </row>
    <row r="86" spans="2:2">
      <c r="B86" s="66"/>
    </row>
    <row r="87" spans="2:2">
      <c r="B87" s="66"/>
    </row>
    <row r="88" spans="2:2">
      <c r="B88" s="66"/>
    </row>
    <row r="89" spans="2:2">
      <c r="B89" s="66"/>
    </row>
    <row r="90" spans="2:2">
      <c r="B90" s="66"/>
    </row>
    <row r="91" spans="2:2">
      <c r="B91" s="66"/>
    </row>
    <row r="92" spans="2:2">
      <c r="B92" s="66"/>
    </row>
    <row r="93" spans="2:2">
      <c r="B93" s="66"/>
    </row>
    <row r="94" spans="2:2">
      <c r="B94" s="66"/>
    </row>
    <row r="95" spans="2:2">
      <c r="B95" s="66"/>
    </row>
    <row r="96" spans="2:2">
      <c r="B96" s="66"/>
    </row>
    <row r="97" spans="2:2">
      <c r="B97" s="66"/>
    </row>
    <row r="98" spans="2:2">
      <c r="B98" s="66"/>
    </row>
    <row r="99" spans="2:2">
      <c r="B99" s="66"/>
    </row>
    <row r="100" spans="2:2">
      <c r="B100" s="66"/>
    </row>
    <row r="101" spans="2:2">
      <c r="B101" s="66"/>
    </row>
    <row r="102" spans="2:2">
      <c r="B102" s="66"/>
    </row>
    <row r="103" spans="2:2">
      <c r="B103" s="66"/>
    </row>
    <row r="104" spans="2:2">
      <c r="B104" s="66"/>
    </row>
    <row r="105" spans="2:2">
      <c r="B105" s="66"/>
    </row>
    <row r="106" spans="2:2">
      <c r="B106" s="66"/>
    </row>
    <row r="107" spans="2:2">
      <c r="B107" s="66"/>
    </row>
    <row r="108" spans="2:2">
      <c r="B108" s="66"/>
    </row>
    <row r="109" spans="2:2">
      <c r="B109" s="66"/>
    </row>
    <row r="110" spans="2:2">
      <c r="B110" s="66"/>
    </row>
    <row r="111" spans="2:2">
      <c r="B111" s="66"/>
    </row>
    <row r="112" spans="2:2">
      <c r="B112" s="66"/>
    </row>
    <row r="113" spans="2:2">
      <c r="B113" s="66"/>
    </row>
    <row r="114" spans="2:2">
      <c r="B114" s="66"/>
    </row>
    <row r="115" spans="2:2">
      <c r="B115" s="66"/>
    </row>
    <row r="116" spans="2:2">
      <c r="B116" s="66"/>
    </row>
    <row r="117" spans="2:2">
      <c r="B117" s="66"/>
    </row>
    <row r="118" spans="2:2">
      <c r="B118" s="66"/>
    </row>
    <row r="119" spans="2:2">
      <c r="B119" s="66"/>
    </row>
    <row r="120" spans="2:2">
      <c r="B120" s="66"/>
    </row>
    <row r="121" spans="2:2">
      <c r="B121" s="66"/>
    </row>
    <row r="122" spans="2:2">
      <c r="B122" s="66"/>
    </row>
    <row r="123" spans="2:2">
      <c r="B123" s="66"/>
    </row>
    <row r="124" spans="2:2">
      <c r="B124" s="66"/>
    </row>
    <row r="125" spans="2:2">
      <c r="B125" s="66"/>
    </row>
    <row r="126" spans="2:2">
      <c r="B126" s="66"/>
    </row>
    <row r="127" spans="2:2">
      <c r="B127" s="66"/>
    </row>
    <row r="128" spans="2:2">
      <c r="B128" s="66"/>
    </row>
    <row r="129" spans="2:2">
      <c r="B129" s="66"/>
    </row>
    <row r="130" spans="2:2">
      <c r="B130" s="66"/>
    </row>
    <row r="131" spans="2:2">
      <c r="B131" s="66"/>
    </row>
    <row r="132" spans="2:2">
      <c r="B132" s="66"/>
    </row>
    <row r="133" spans="2:2">
      <c r="B133" s="66"/>
    </row>
    <row r="134" spans="2:2">
      <c r="B134" s="66"/>
    </row>
    <row r="135" spans="2:2">
      <c r="B135" s="66"/>
    </row>
    <row r="136" spans="2:2">
      <c r="B136" s="66"/>
    </row>
    <row r="137" spans="2:2">
      <c r="B137" s="66"/>
    </row>
    <row r="138" spans="2:2">
      <c r="B138" s="66"/>
    </row>
    <row r="139" spans="2:2">
      <c r="B139" s="66"/>
    </row>
    <row r="140" spans="2:2">
      <c r="B140" s="66"/>
    </row>
    <row r="141" spans="2:2">
      <c r="B141" s="66"/>
    </row>
    <row r="142" spans="2:2">
      <c r="B142" s="66"/>
    </row>
    <row r="143" spans="2:2">
      <c r="B143" s="66"/>
    </row>
    <row r="144" spans="2:2">
      <c r="B144" s="66"/>
    </row>
    <row r="145" spans="2:2">
      <c r="B145" s="66"/>
    </row>
    <row r="146" spans="2:2">
      <c r="B146" s="66"/>
    </row>
    <row r="147" spans="2:2">
      <c r="B147" s="66"/>
    </row>
    <row r="148" spans="2:2">
      <c r="B148" s="66"/>
    </row>
    <row r="149" spans="2:2">
      <c r="B149" s="66"/>
    </row>
    <row r="150" spans="2:2">
      <c r="B150" s="66"/>
    </row>
    <row r="151" spans="2:2">
      <c r="B151" s="66"/>
    </row>
    <row r="152" spans="2:2">
      <c r="B152" s="66"/>
    </row>
    <row r="153" spans="2:2">
      <c r="B153" s="66"/>
    </row>
    <row r="154" spans="2:2">
      <c r="B154" s="66"/>
    </row>
    <row r="155" spans="2:2">
      <c r="B155" s="66"/>
    </row>
    <row r="156" spans="2:2">
      <c r="B156" s="66"/>
    </row>
    <row r="157" spans="2:2">
      <c r="B157" s="66"/>
    </row>
    <row r="158" spans="2:2">
      <c r="B158" s="66"/>
    </row>
    <row r="159" spans="2:2">
      <c r="B159" s="66"/>
    </row>
    <row r="160" spans="2:2">
      <c r="B160" s="66"/>
    </row>
    <row r="161" spans="2:2">
      <c r="B161" s="66"/>
    </row>
    <row r="162" spans="2:2">
      <c r="B162" s="66"/>
    </row>
    <row r="163" spans="2:2">
      <c r="B163" s="66"/>
    </row>
    <row r="164" spans="2:2">
      <c r="B164" s="66"/>
    </row>
    <row r="165" spans="2:2">
      <c r="B165" s="66"/>
    </row>
    <row r="166" spans="2:2">
      <c r="B166" s="66"/>
    </row>
    <row r="167" spans="2:2">
      <c r="B167" s="66"/>
    </row>
    <row r="168" spans="2:2">
      <c r="B168" s="66"/>
    </row>
    <row r="169" spans="2:2">
      <c r="B169" s="66"/>
    </row>
    <row r="170" spans="2:2">
      <c r="B170" s="66"/>
    </row>
    <row r="171" spans="2:2">
      <c r="B171" s="66"/>
    </row>
    <row r="172" spans="2:2">
      <c r="B172" s="66"/>
    </row>
    <row r="173" spans="2:2">
      <c r="B173" s="66"/>
    </row>
    <row r="174" spans="2:2">
      <c r="B174" s="66"/>
    </row>
    <row r="175" spans="2:2">
      <c r="B175" s="66"/>
    </row>
    <row r="176" spans="2:2">
      <c r="B176" s="66"/>
    </row>
    <row r="177" spans="2:2">
      <c r="B177" s="66"/>
    </row>
    <row r="178" spans="2:2">
      <c r="B178" s="66"/>
    </row>
    <row r="179" spans="2:2">
      <c r="B179" s="66"/>
    </row>
    <row r="180" spans="2:2">
      <c r="B180" s="66"/>
    </row>
    <row r="181" spans="2:2">
      <c r="B181" s="66"/>
    </row>
    <row r="182" spans="2:2">
      <c r="B182" s="66"/>
    </row>
    <row r="183" spans="2:2">
      <c r="B183" s="66"/>
    </row>
    <row r="184" spans="2:2">
      <c r="B184" s="66"/>
    </row>
    <row r="185" spans="2:2">
      <c r="B185" s="66"/>
    </row>
    <row r="186" spans="2:2">
      <c r="B186" s="66"/>
    </row>
    <row r="187" spans="2:2">
      <c r="B187" s="66"/>
    </row>
    <row r="188" spans="2:2">
      <c r="B188" s="66"/>
    </row>
    <row r="189" spans="2:2">
      <c r="B189" s="66"/>
    </row>
    <row r="190" spans="2:2">
      <c r="B190" s="66"/>
    </row>
    <row r="191" spans="2:2">
      <c r="B191" s="66"/>
    </row>
    <row r="192" spans="2:2">
      <c r="B192" s="66"/>
    </row>
    <row r="193" spans="2:2">
      <c r="B193" s="66"/>
    </row>
    <row r="194" spans="2:2">
      <c r="B194" s="66"/>
    </row>
    <row r="195" spans="2:2">
      <c r="B195" s="66"/>
    </row>
    <row r="196" spans="2:2">
      <c r="B196" s="66"/>
    </row>
    <row r="197" spans="2:2">
      <c r="B197" s="66"/>
    </row>
    <row r="198" spans="2:2">
      <c r="B198" s="66"/>
    </row>
    <row r="199" spans="2:2">
      <c r="B199" s="66"/>
    </row>
    <row r="200" spans="2:2">
      <c r="B200" s="66"/>
    </row>
    <row r="201" spans="2:2">
      <c r="B201" s="66"/>
    </row>
    <row r="202" spans="2:2">
      <c r="B202" s="66"/>
    </row>
    <row r="203" spans="2:2">
      <c r="B203" s="66"/>
    </row>
    <row r="204" spans="2:2">
      <c r="B204" s="66"/>
    </row>
    <row r="205" spans="2:2">
      <c r="B205" s="66"/>
    </row>
    <row r="206" spans="2:2">
      <c r="B206" s="66"/>
    </row>
    <row r="207" spans="2:2">
      <c r="B207" s="66"/>
    </row>
    <row r="208" spans="2:2">
      <c r="B208" s="66"/>
    </row>
    <row r="209" spans="2:2">
      <c r="B209" s="66"/>
    </row>
    <row r="210" spans="2:2">
      <c r="B210" s="66"/>
    </row>
    <row r="211" spans="2:2">
      <c r="B211" s="66"/>
    </row>
    <row r="212" spans="2:2">
      <c r="B212" s="66"/>
    </row>
    <row r="213" spans="2:2">
      <c r="B213" s="66"/>
    </row>
    <row r="214" spans="2:2">
      <c r="B214" s="66"/>
    </row>
    <row r="215" spans="2:2">
      <c r="B215" s="66"/>
    </row>
    <row r="216" spans="2:2">
      <c r="B216" s="66"/>
    </row>
    <row r="217" spans="2:2">
      <c r="B217" s="66"/>
    </row>
    <row r="218" spans="2:2">
      <c r="B218" s="66"/>
    </row>
    <row r="219" spans="2:2">
      <c r="B219" s="66"/>
    </row>
    <row r="220" spans="2:2">
      <c r="B220" s="66"/>
    </row>
    <row r="221" spans="2:2">
      <c r="B221" s="66"/>
    </row>
    <row r="222" spans="2:2">
      <c r="B222" s="66"/>
    </row>
    <row r="223" spans="2:2">
      <c r="B223" s="66"/>
    </row>
    <row r="224" spans="2:2">
      <c r="B224" s="66"/>
    </row>
    <row r="225" spans="2:2">
      <c r="B225" s="66"/>
    </row>
    <row r="226" spans="2:2">
      <c r="B226" s="66"/>
    </row>
    <row r="227" spans="2:2">
      <c r="B227" s="66"/>
    </row>
    <row r="228" spans="2:2">
      <c r="B228" s="66"/>
    </row>
    <row r="229" spans="2:2">
      <c r="B229" s="66"/>
    </row>
    <row r="230" spans="2:2">
      <c r="B230" s="66"/>
    </row>
    <row r="231" spans="2:2">
      <c r="B231" s="66"/>
    </row>
    <row r="232" spans="2:2">
      <c r="B232" s="66"/>
    </row>
    <row r="233" spans="2:2">
      <c r="B233" s="66"/>
    </row>
    <row r="234" spans="2:2">
      <c r="B234" s="66"/>
    </row>
    <row r="235" spans="2:2">
      <c r="B235" s="66"/>
    </row>
    <row r="236" spans="2:2">
      <c r="B236" s="66"/>
    </row>
    <row r="237" spans="2:2">
      <c r="B237" s="66"/>
    </row>
    <row r="238" spans="2:2">
      <c r="B238" s="66"/>
    </row>
    <row r="239" spans="2:2">
      <c r="B239" s="66"/>
    </row>
    <row r="240" spans="2:2">
      <c r="B240" s="66"/>
    </row>
    <row r="241" spans="2:2">
      <c r="B241" s="66"/>
    </row>
    <row r="242" spans="2:2">
      <c r="B242" s="66"/>
    </row>
    <row r="243" spans="2:2">
      <c r="B243" s="66"/>
    </row>
    <row r="244" spans="2:2">
      <c r="B244" s="66"/>
    </row>
    <row r="245" spans="2:2">
      <c r="B245" s="66"/>
    </row>
    <row r="246" spans="2:2">
      <c r="B246" s="66"/>
    </row>
    <row r="247" spans="2:2">
      <c r="B247" s="66"/>
    </row>
    <row r="248" spans="2:2">
      <c r="B248" s="66"/>
    </row>
    <row r="249" spans="2:2">
      <c r="B249" s="66"/>
    </row>
    <row r="250" spans="2:2">
      <c r="B250" s="66"/>
    </row>
    <row r="251" spans="2:2">
      <c r="B251" s="66"/>
    </row>
    <row r="252" spans="2:2">
      <c r="B252" s="66"/>
    </row>
    <row r="253" spans="2:2">
      <c r="B253" s="66"/>
    </row>
    <row r="254" spans="2:2">
      <c r="B254" s="66"/>
    </row>
    <row r="255" spans="2:2">
      <c r="B255" s="66"/>
    </row>
    <row r="256" spans="2:2">
      <c r="B256" s="66"/>
    </row>
    <row r="257" spans="2:2">
      <c r="B257" s="66"/>
    </row>
    <row r="258" spans="2:2">
      <c r="B258" s="66"/>
    </row>
    <row r="259" spans="2:2">
      <c r="B259" s="66"/>
    </row>
    <row r="260" spans="2:2">
      <c r="B260" s="66"/>
    </row>
    <row r="261" spans="2:2">
      <c r="B261" s="66"/>
    </row>
    <row r="262" spans="2:2">
      <c r="B262" s="66"/>
    </row>
    <row r="263" spans="2:2">
      <c r="B263" s="66"/>
    </row>
    <row r="264" spans="2:2">
      <c r="B264" s="66"/>
    </row>
    <row r="265" spans="2:2">
      <c r="B265" s="66"/>
    </row>
    <row r="266" spans="2:2">
      <c r="B266" s="66"/>
    </row>
    <row r="267" spans="2:2">
      <c r="B267" s="66"/>
    </row>
    <row r="268" spans="2:2">
      <c r="B268" s="66"/>
    </row>
    <row r="269" spans="2:2">
      <c r="B269" s="66"/>
    </row>
    <row r="270" spans="2:2">
      <c r="B270" s="66"/>
    </row>
    <row r="271" spans="2:2">
      <c r="B271" s="66"/>
    </row>
    <row r="272" spans="2:2">
      <c r="B272" s="66"/>
    </row>
    <row r="273" spans="2:2">
      <c r="B273" s="66"/>
    </row>
    <row r="274" spans="2:2">
      <c r="B274" s="66"/>
    </row>
    <row r="275" spans="2:2">
      <c r="B275" s="66"/>
    </row>
    <row r="276" spans="2:2">
      <c r="B276" s="66"/>
    </row>
    <row r="277" spans="2:2">
      <c r="B277" s="66"/>
    </row>
    <row r="278" spans="2:2">
      <c r="B278" s="66"/>
    </row>
    <row r="279" spans="2:2">
      <c r="B279" s="66"/>
    </row>
    <row r="280" spans="2:2">
      <c r="B280" s="66"/>
    </row>
    <row r="281" spans="2:2">
      <c r="B281" s="66"/>
    </row>
    <row r="282" spans="2:2">
      <c r="B282" s="66"/>
    </row>
    <row r="283" spans="2:2">
      <c r="B283" s="66"/>
    </row>
    <row r="284" spans="2:2">
      <c r="B284" s="66"/>
    </row>
    <row r="285" spans="2:2">
      <c r="B285" s="66"/>
    </row>
    <row r="286" spans="2:2">
      <c r="B286" s="66"/>
    </row>
    <row r="287" spans="2:2">
      <c r="B287" s="66"/>
    </row>
    <row r="288" spans="2:2">
      <c r="B288" s="66"/>
    </row>
    <row r="289" spans="2:2">
      <c r="B289" s="66"/>
    </row>
    <row r="290" spans="2:2">
      <c r="B290" s="66"/>
    </row>
    <row r="291" spans="2:2">
      <c r="B291" s="66"/>
    </row>
    <row r="292" spans="2:2">
      <c r="B292" s="66"/>
    </row>
    <row r="293" spans="2:2">
      <c r="B293" s="66"/>
    </row>
    <row r="294" spans="2:2">
      <c r="B294" s="66"/>
    </row>
    <row r="295" spans="2:2">
      <c r="B295" s="66"/>
    </row>
    <row r="296" spans="2:2">
      <c r="B296" s="66"/>
    </row>
    <row r="297" spans="2:2">
      <c r="B297" s="66"/>
    </row>
    <row r="298" spans="2:2">
      <c r="B298" s="66"/>
    </row>
    <row r="299" spans="2:2">
      <c r="B299" s="66"/>
    </row>
    <row r="300" spans="2:2">
      <c r="B300" s="66"/>
    </row>
    <row r="301" spans="2:2">
      <c r="B301" s="66"/>
    </row>
    <row r="302" spans="2:2">
      <c r="B302" s="66"/>
    </row>
    <row r="303" spans="2:2">
      <c r="B303" s="66"/>
    </row>
    <row r="304" spans="2:2">
      <c r="B304" s="66"/>
    </row>
    <row r="305" spans="2:2">
      <c r="B305" s="66"/>
    </row>
    <row r="306" spans="2:2">
      <c r="B306" s="66"/>
    </row>
    <row r="307" spans="2:2">
      <c r="B307" s="66"/>
    </row>
    <row r="308" spans="2:2">
      <c r="B308" s="66"/>
    </row>
    <row r="309" spans="2:2">
      <c r="B309" s="66"/>
    </row>
    <row r="310" spans="2:2">
      <c r="B310" s="66"/>
    </row>
    <row r="311" spans="2:2">
      <c r="B311" s="66"/>
    </row>
    <row r="312" spans="2:2">
      <c r="B312" s="66"/>
    </row>
    <row r="313" spans="2:2">
      <c r="B313" s="66"/>
    </row>
    <row r="314" spans="2:2">
      <c r="B314" s="66"/>
    </row>
    <row r="315" spans="2:2">
      <c r="B315" s="66"/>
    </row>
    <row r="316" spans="2:2">
      <c r="B316" s="66"/>
    </row>
    <row r="317" spans="2:2">
      <c r="B317" s="66"/>
    </row>
    <row r="318" spans="2:2">
      <c r="B318" s="66"/>
    </row>
    <row r="319" spans="2:2">
      <c r="B319" s="66"/>
    </row>
    <row r="320" spans="2:2">
      <c r="B320" s="66"/>
    </row>
    <row r="321" spans="2:2">
      <c r="B321" s="66"/>
    </row>
    <row r="322" spans="2:2">
      <c r="B322" s="66"/>
    </row>
    <row r="323" spans="2:2">
      <c r="B323" s="66"/>
    </row>
    <row r="324" spans="2:2">
      <c r="B324" s="66"/>
    </row>
    <row r="325" spans="2:2">
      <c r="B325" s="66"/>
    </row>
    <row r="326" spans="2:2">
      <c r="B326" s="66"/>
    </row>
    <row r="327" spans="2:2">
      <c r="B327" s="66"/>
    </row>
    <row r="328" spans="2:2">
      <c r="B328" s="66"/>
    </row>
    <row r="329" spans="2:2">
      <c r="B329" s="66"/>
    </row>
    <row r="330" spans="2:2">
      <c r="B330" s="66"/>
    </row>
    <row r="331" spans="2:2">
      <c r="B331" s="66"/>
    </row>
    <row r="332" spans="2:2">
      <c r="B332" s="66"/>
    </row>
    <row r="333" spans="2:2">
      <c r="B333" s="66"/>
    </row>
    <row r="334" spans="2:2">
      <c r="B334" s="66"/>
    </row>
    <row r="335" spans="2:2">
      <c r="B335" s="66"/>
    </row>
    <row r="336" spans="2:2">
      <c r="B336" s="66"/>
    </row>
    <row r="337" spans="2:2">
      <c r="B337" s="66"/>
    </row>
    <row r="338" spans="2:2">
      <c r="B338" s="66"/>
    </row>
    <row r="339" spans="2:2">
      <c r="B339" s="66"/>
    </row>
    <row r="340" spans="2:2">
      <c r="B340" s="66"/>
    </row>
    <row r="341" spans="2:2">
      <c r="B341" s="66"/>
    </row>
    <row r="342" spans="2:2">
      <c r="B342" s="66"/>
    </row>
    <row r="343" spans="2:2">
      <c r="B343" s="66"/>
    </row>
    <row r="344" spans="2:2">
      <c r="B344" s="66"/>
    </row>
    <row r="345" spans="2:2">
      <c r="B345" s="66"/>
    </row>
    <row r="346" spans="2:2">
      <c r="B346" s="66"/>
    </row>
    <row r="347" spans="2:2">
      <c r="B347" s="66"/>
    </row>
    <row r="348" spans="2:2">
      <c r="B348" s="66"/>
    </row>
    <row r="349" spans="2:2">
      <c r="B349" s="66"/>
    </row>
    <row r="350" spans="2:2">
      <c r="B350" s="66"/>
    </row>
    <row r="351" spans="2:2">
      <c r="B351" s="66"/>
    </row>
    <row r="352" spans="2:2">
      <c r="B352" s="66"/>
    </row>
    <row r="353" spans="2:2">
      <c r="B353" s="66"/>
    </row>
    <row r="354" spans="2:2">
      <c r="B354" s="66"/>
    </row>
    <row r="355" spans="2:2">
      <c r="B355" s="66"/>
    </row>
    <row r="356" spans="2:2">
      <c r="B356" s="66"/>
    </row>
    <row r="357" spans="2:2">
      <c r="B357" s="66"/>
    </row>
    <row r="358" spans="2:2">
      <c r="B358" s="66"/>
    </row>
    <row r="359" spans="2:2">
      <c r="B359" s="66"/>
    </row>
    <row r="360" spans="2:2">
      <c r="B360" s="66"/>
    </row>
    <row r="361" spans="2:2">
      <c r="B361" s="66"/>
    </row>
    <row r="362" spans="2:2">
      <c r="B362" s="66"/>
    </row>
    <row r="363" spans="2:2">
      <c r="B363" s="66"/>
    </row>
    <row r="364" spans="2:2">
      <c r="B364" s="66"/>
    </row>
    <row r="365" spans="2:2">
      <c r="B365" s="66"/>
    </row>
    <row r="366" spans="2:2">
      <c r="B366" s="66"/>
    </row>
    <row r="367" spans="2:2">
      <c r="B367" s="66"/>
    </row>
    <row r="368" spans="2:2">
      <c r="B368" s="66"/>
    </row>
    <row r="369" spans="2:2">
      <c r="B369" s="66"/>
    </row>
    <row r="370" spans="2:2">
      <c r="B370" s="66"/>
    </row>
    <row r="371" spans="2:2">
      <c r="B371" s="66"/>
    </row>
    <row r="372" spans="2:2">
      <c r="B372" s="66"/>
    </row>
    <row r="373" spans="2:2">
      <c r="B373" s="66"/>
    </row>
    <row r="374" spans="2:2">
      <c r="B374" s="66"/>
    </row>
    <row r="375" spans="2:2">
      <c r="B375" s="66"/>
    </row>
    <row r="376" spans="2:2">
      <c r="B376" s="66"/>
    </row>
    <row r="377" spans="2:2">
      <c r="B377" s="66"/>
    </row>
    <row r="378" spans="2:2">
      <c r="B378" s="66"/>
    </row>
    <row r="379" spans="2:2">
      <c r="B379" s="66"/>
    </row>
    <row r="380" spans="2:2">
      <c r="B380" s="66"/>
    </row>
    <row r="381" spans="2:2">
      <c r="B381" s="66"/>
    </row>
    <row r="382" spans="2:2">
      <c r="B382" s="66"/>
    </row>
    <row r="383" spans="2:2">
      <c r="B383" s="66"/>
    </row>
    <row r="384" spans="2:2">
      <c r="B384" s="66"/>
    </row>
    <row r="385" spans="2:2">
      <c r="B385" s="66"/>
    </row>
    <row r="386" spans="2:2">
      <c r="B386" s="66"/>
    </row>
    <row r="387" spans="2:2">
      <c r="B387" s="66"/>
    </row>
    <row r="388" spans="2:2">
      <c r="B388" s="66"/>
    </row>
    <row r="389" spans="2:2">
      <c r="B389" s="66"/>
    </row>
    <row r="390" spans="2:2">
      <c r="B390" s="66"/>
    </row>
    <row r="391" spans="2:2">
      <c r="B391" s="66"/>
    </row>
    <row r="392" spans="2:2">
      <c r="B392" s="66"/>
    </row>
    <row r="393" spans="2:2">
      <c r="B393" s="66"/>
    </row>
    <row r="394" spans="2:2">
      <c r="B394" s="66"/>
    </row>
    <row r="395" spans="2:2">
      <c r="B395" s="66"/>
    </row>
    <row r="396" spans="2:2">
      <c r="B396" s="66"/>
    </row>
    <row r="397" spans="2:2">
      <c r="B397" s="66"/>
    </row>
    <row r="398" spans="2:2">
      <c r="B398" s="66"/>
    </row>
    <row r="399" spans="2:2">
      <c r="B399" s="66"/>
    </row>
    <row r="400" spans="2:2">
      <c r="B400" s="66"/>
    </row>
    <row r="401" spans="2:2">
      <c r="B401" s="66"/>
    </row>
    <row r="402" spans="2:2">
      <c r="B402" s="66"/>
    </row>
    <row r="403" spans="2:2">
      <c r="B403" s="66"/>
    </row>
    <row r="404" spans="2:2">
      <c r="B404" s="66"/>
    </row>
    <row r="405" spans="2:2">
      <c r="B405" s="66"/>
    </row>
    <row r="406" spans="2:2">
      <c r="B406" s="66"/>
    </row>
    <row r="407" spans="2:2">
      <c r="B407" s="66"/>
    </row>
    <row r="408" spans="2:2">
      <c r="B408" s="66"/>
    </row>
    <row r="409" spans="2:2">
      <c r="B409" s="66"/>
    </row>
    <row r="410" spans="2:2">
      <c r="B410" s="66"/>
    </row>
    <row r="411" spans="2:2">
      <c r="B411" s="66"/>
    </row>
    <row r="412" spans="2:2">
      <c r="B412" s="66"/>
    </row>
    <row r="413" spans="2:2">
      <c r="B413" s="66"/>
    </row>
    <row r="414" spans="2:2">
      <c r="B414" s="66"/>
    </row>
    <row r="415" spans="2:2">
      <c r="B415" s="66"/>
    </row>
    <row r="416" spans="2:2">
      <c r="B416" s="66"/>
    </row>
    <row r="417" spans="2:2">
      <c r="B417" s="66"/>
    </row>
    <row r="418" spans="2:2">
      <c r="B418" s="66"/>
    </row>
    <row r="419" spans="2:2">
      <c r="B419" s="66"/>
    </row>
    <row r="420" spans="2:2">
      <c r="B420" s="66"/>
    </row>
    <row r="421" spans="2:2">
      <c r="B421" s="66"/>
    </row>
    <row r="422" spans="2:2">
      <c r="B422" s="66"/>
    </row>
    <row r="423" spans="2:2">
      <c r="B423" s="66"/>
    </row>
    <row r="424" spans="2:2">
      <c r="B424" s="66"/>
    </row>
    <row r="425" spans="2:2">
      <c r="B425" s="66"/>
    </row>
    <row r="426" spans="2:2">
      <c r="B426" s="66"/>
    </row>
    <row r="427" spans="2:2">
      <c r="B427" s="66"/>
    </row>
    <row r="428" spans="2:2">
      <c r="B428" s="66"/>
    </row>
    <row r="429" spans="2:2">
      <c r="B429" s="66"/>
    </row>
    <row r="430" spans="2:2">
      <c r="B430" s="66"/>
    </row>
    <row r="431" spans="2:2">
      <c r="B431" s="66"/>
    </row>
    <row r="432" spans="2:2">
      <c r="B432" s="66"/>
    </row>
    <row r="433" spans="2:2">
      <c r="B433" s="66"/>
    </row>
    <row r="434" spans="2:2">
      <c r="B434" s="66"/>
    </row>
    <row r="435" spans="2:2">
      <c r="B435" s="66"/>
    </row>
    <row r="436" spans="2:2">
      <c r="B436" s="66"/>
    </row>
    <row r="437" spans="2:2">
      <c r="B437" s="66"/>
    </row>
    <row r="438" spans="2:2">
      <c r="B438" s="66"/>
    </row>
    <row r="439" spans="2:2">
      <c r="B439" s="66"/>
    </row>
    <row r="440" spans="2:2">
      <c r="B440" s="66"/>
    </row>
    <row r="441" spans="2:2">
      <c r="B441" s="66"/>
    </row>
    <row r="442" spans="2:2">
      <c r="B442" s="66"/>
    </row>
    <row r="443" spans="2:2">
      <c r="B443" s="66"/>
    </row>
    <row r="444" spans="2:2">
      <c r="B444" s="66"/>
    </row>
    <row r="445" spans="2:2">
      <c r="B445" s="66"/>
    </row>
    <row r="446" spans="2:2">
      <c r="B446" s="66"/>
    </row>
    <row r="447" spans="2:2">
      <c r="B447" s="66"/>
    </row>
    <row r="448" spans="2:2">
      <c r="B448" s="66"/>
    </row>
    <row r="449" spans="2:2">
      <c r="B449" s="66"/>
    </row>
    <row r="450" spans="2:2">
      <c r="B450" s="66"/>
    </row>
    <row r="451" spans="2:2">
      <c r="B451" s="66"/>
    </row>
    <row r="452" spans="2:2">
      <c r="B452" s="66"/>
    </row>
    <row r="453" spans="2:2">
      <c r="B453" s="66"/>
    </row>
    <row r="454" spans="2:2">
      <c r="B454" s="66"/>
    </row>
    <row r="455" spans="2:2">
      <c r="B455" s="66"/>
    </row>
    <row r="456" spans="2:2">
      <c r="B456" s="66"/>
    </row>
    <row r="457" spans="2:2">
      <c r="B457" s="66"/>
    </row>
    <row r="458" spans="2:2">
      <c r="B458" s="66"/>
    </row>
    <row r="459" spans="2:2">
      <c r="B459" s="66"/>
    </row>
    <row r="460" spans="2:2">
      <c r="B460" s="66"/>
    </row>
    <row r="461" spans="2:2">
      <c r="B461" s="66"/>
    </row>
    <row r="462" spans="2:2">
      <c r="B462" s="66"/>
    </row>
    <row r="463" spans="2:2">
      <c r="B463" s="66"/>
    </row>
    <row r="464" spans="2:2">
      <c r="B464" s="66"/>
    </row>
    <row r="465" spans="2:2">
      <c r="B465" s="66"/>
    </row>
    <row r="466" spans="2:2">
      <c r="B466" s="66"/>
    </row>
    <row r="467" spans="2:2">
      <c r="B467" s="66"/>
    </row>
    <row r="468" spans="2:2">
      <c r="B468" s="66"/>
    </row>
    <row r="469" spans="2:2">
      <c r="B469" s="66"/>
    </row>
    <row r="470" spans="2:2">
      <c r="B470" s="66"/>
    </row>
    <row r="471" spans="2:2">
      <c r="B471" s="66"/>
    </row>
    <row r="472" spans="2:2">
      <c r="B472" s="66"/>
    </row>
    <row r="473" spans="2:2">
      <c r="B473" s="66"/>
    </row>
    <row r="474" spans="2:2">
      <c r="B474" s="66"/>
    </row>
    <row r="475" spans="2:2">
      <c r="B475" s="66"/>
    </row>
    <row r="476" spans="2:2">
      <c r="B476" s="66"/>
    </row>
    <row r="477" spans="2:2">
      <c r="B477" s="66"/>
    </row>
    <row r="478" spans="2:2">
      <c r="B478" s="66"/>
    </row>
    <row r="479" spans="2:2">
      <c r="B479" s="66"/>
    </row>
    <row r="480" spans="2:2">
      <c r="B480" s="66"/>
    </row>
    <row r="481" spans="2:2">
      <c r="B481" s="66"/>
    </row>
    <row r="482" spans="2:2">
      <c r="B482" s="66"/>
    </row>
    <row r="483" spans="2:2">
      <c r="B483" s="66"/>
    </row>
    <row r="484" spans="2:2">
      <c r="B484" s="66"/>
    </row>
    <row r="485" spans="2:2">
      <c r="B485" s="66"/>
    </row>
    <row r="486" spans="2:2">
      <c r="B486" s="66"/>
    </row>
    <row r="487" spans="2:2">
      <c r="B487" s="66"/>
    </row>
    <row r="488" spans="2:2">
      <c r="B488" s="66"/>
    </row>
    <row r="489" spans="2:2">
      <c r="B489" s="66"/>
    </row>
    <row r="490" spans="2:2">
      <c r="B490" s="66"/>
    </row>
    <row r="491" spans="2:2">
      <c r="B491" s="66"/>
    </row>
    <row r="492" spans="2:2">
      <c r="B492" s="66"/>
    </row>
    <row r="493" spans="2:2">
      <c r="B493" s="66"/>
    </row>
    <row r="494" spans="2:2">
      <c r="B494" s="66"/>
    </row>
    <row r="495" spans="2:2">
      <c r="B495" s="66"/>
    </row>
    <row r="496" spans="2:2">
      <c r="B496" s="66"/>
    </row>
    <row r="497" spans="2:2">
      <c r="B497" s="66"/>
    </row>
    <row r="498" spans="2:2">
      <c r="B498" s="66"/>
    </row>
    <row r="499" spans="2:2">
      <c r="B499" s="66"/>
    </row>
    <row r="500" spans="2:2">
      <c r="B500" s="66"/>
    </row>
    <row r="501" spans="2:2">
      <c r="B501" s="66"/>
    </row>
    <row r="502" spans="2:2">
      <c r="B502" s="66"/>
    </row>
    <row r="503" spans="2:2">
      <c r="B503" s="66"/>
    </row>
    <row r="504" spans="2:2">
      <c r="B504" s="66"/>
    </row>
    <row r="505" spans="2:2">
      <c r="B505" s="66"/>
    </row>
    <row r="506" spans="2:2">
      <c r="B506" s="66"/>
    </row>
    <row r="507" spans="2:2">
      <c r="B507" s="66"/>
    </row>
    <row r="508" spans="2:2">
      <c r="B508" s="66"/>
    </row>
    <row r="509" spans="2:2">
      <c r="B509" s="66"/>
    </row>
    <row r="510" spans="2:2">
      <c r="B510" s="66"/>
    </row>
    <row r="511" spans="2:2">
      <c r="B511" s="66"/>
    </row>
    <row r="512" spans="2:2">
      <c r="B512" s="66"/>
    </row>
    <row r="513" spans="2:2">
      <c r="B513" s="66"/>
    </row>
    <row r="514" spans="2:2">
      <c r="B514" s="66"/>
    </row>
    <row r="515" spans="2:2">
      <c r="B515" s="66"/>
    </row>
    <row r="516" spans="2:2">
      <c r="B516" s="66"/>
    </row>
    <row r="517" spans="2:2">
      <c r="B517" s="66"/>
    </row>
    <row r="518" spans="2:2">
      <c r="B518" s="66"/>
    </row>
    <row r="519" spans="2:2">
      <c r="B519" s="66"/>
    </row>
    <row r="520" spans="2:2">
      <c r="B520" s="66"/>
    </row>
    <row r="521" spans="2:2">
      <c r="B521" s="66"/>
    </row>
    <row r="522" spans="2:2">
      <c r="B522" s="66"/>
    </row>
    <row r="523" spans="2:2">
      <c r="B523" s="66"/>
    </row>
    <row r="524" spans="2:2">
      <c r="B524" s="66"/>
    </row>
    <row r="525" spans="2:2">
      <c r="B525" s="66"/>
    </row>
    <row r="526" spans="2:2">
      <c r="B526" s="66"/>
    </row>
    <row r="527" spans="2:2">
      <c r="B527" s="66"/>
    </row>
    <row r="528" spans="2:2">
      <c r="B528" s="66"/>
    </row>
    <row r="529" spans="2:2">
      <c r="B529" s="66"/>
    </row>
    <row r="530" spans="2:2">
      <c r="B530" s="66"/>
    </row>
    <row r="531" spans="2:2">
      <c r="B531" s="66"/>
    </row>
    <row r="532" spans="2:2">
      <c r="B532" s="66"/>
    </row>
    <row r="533" spans="2:2">
      <c r="B533" s="66"/>
    </row>
    <row r="534" spans="2:2">
      <c r="B534" s="66"/>
    </row>
    <row r="535" spans="2:2">
      <c r="B535" s="66"/>
    </row>
    <row r="536" spans="2:2">
      <c r="B536" s="66"/>
    </row>
    <row r="537" spans="2:2">
      <c r="B537" s="66"/>
    </row>
    <row r="538" spans="2:2">
      <c r="B538" s="66"/>
    </row>
    <row r="539" spans="2:2">
      <c r="B539" s="66"/>
    </row>
    <row r="540" spans="2:2">
      <c r="B540" s="66"/>
    </row>
    <row r="541" spans="2:2">
      <c r="B541" s="66"/>
    </row>
    <row r="542" spans="2:2">
      <c r="B542" s="66"/>
    </row>
    <row r="543" spans="2:2">
      <c r="B543" s="66"/>
    </row>
    <row r="544" spans="2:2">
      <c r="B544" s="66"/>
    </row>
    <row r="545" spans="2:2">
      <c r="B545" s="66"/>
    </row>
    <row r="546" spans="2:2">
      <c r="B546" s="66"/>
    </row>
    <row r="547" spans="2:2">
      <c r="B547" s="66"/>
    </row>
    <row r="548" spans="2:2">
      <c r="B548" s="66"/>
    </row>
    <row r="549" spans="2:2">
      <c r="B549" s="66"/>
    </row>
    <row r="550" spans="2:2">
      <c r="B550" s="66"/>
    </row>
    <row r="551" spans="2:2">
      <c r="B551" s="66"/>
    </row>
    <row r="552" spans="2:2">
      <c r="B552" s="66"/>
    </row>
    <row r="553" spans="2:2">
      <c r="B553" s="66"/>
    </row>
    <row r="554" spans="2:2">
      <c r="B554" s="66"/>
    </row>
    <row r="555" spans="2:2">
      <c r="B555" s="66"/>
    </row>
    <row r="556" spans="2:2">
      <c r="B556" s="66"/>
    </row>
    <row r="557" spans="2:2">
      <c r="B557" s="66"/>
    </row>
    <row r="558" spans="2:2">
      <c r="B558" s="66"/>
    </row>
    <row r="559" spans="2:2">
      <c r="B559" s="66"/>
    </row>
    <row r="560" spans="2:2">
      <c r="B560" s="66"/>
    </row>
    <row r="561" spans="2:2">
      <c r="B561" s="66"/>
    </row>
    <row r="562" spans="2:2">
      <c r="B562" s="66"/>
    </row>
    <row r="563" spans="2:2">
      <c r="B563" s="66"/>
    </row>
    <row r="564" spans="2:2">
      <c r="B564" s="66"/>
    </row>
    <row r="565" spans="2:2">
      <c r="B565" s="66"/>
    </row>
    <row r="566" spans="2:2">
      <c r="B566" s="66"/>
    </row>
    <row r="567" spans="2:2">
      <c r="B567" s="66"/>
    </row>
    <row r="568" spans="2:2">
      <c r="B568" s="66"/>
    </row>
    <row r="569" spans="2:2">
      <c r="B569" s="66"/>
    </row>
    <row r="570" spans="2:2">
      <c r="B570" s="66"/>
    </row>
    <row r="571" spans="2:2">
      <c r="B571" s="66"/>
    </row>
    <row r="572" spans="2:2">
      <c r="B572" s="66"/>
    </row>
    <row r="573" spans="2:2">
      <c r="B573" s="66"/>
    </row>
    <row r="574" spans="2:2">
      <c r="B574" s="66"/>
    </row>
    <row r="575" spans="2:2">
      <c r="B575" s="66"/>
    </row>
    <row r="576" spans="2:2">
      <c r="B576" s="66"/>
    </row>
    <row r="577" spans="2:2">
      <c r="B577" s="66"/>
    </row>
    <row r="578" spans="2:2">
      <c r="B578" s="66"/>
    </row>
    <row r="579" spans="2:2">
      <c r="B579" s="66"/>
    </row>
    <row r="580" spans="2:2">
      <c r="B580" s="66"/>
    </row>
    <row r="581" spans="2:2">
      <c r="B581" s="66"/>
    </row>
    <row r="582" spans="2:2">
      <c r="B582" s="66"/>
    </row>
    <row r="583" spans="2:2">
      <c r="B583" s="66"/>
    </row>
    <row r="584" spans="2:2">
      <c r="B584" s="66"/>
    </row>
    <row r="585" spans="2:2">
      <c r="B585" s="66"/>
    </row>
    <row r="586" spans="2:2">
      <c r="B586" s="66"/>
    </row>
    <row r="587" spans="2:2">
      <c r="B587" s="66"/>
    </row>
    <row r="588" spans="2:2">
      <c r="B588" s="66"/>
    </row>
    <row r="589" spans="2:2">
      <c r="B589" s="66"/>
    </row>
    <row r="590" spans="2:2">
      <c r="B590" s="66"/>
    </row>
    <row r="591" spans="2:2">
      <c r="B591" s="66"/>
    </row>
    <row r="592" spans="2:2">
      <c r="B592" s="66"/>
    </row>
    <row r="593" spans="2:2">
      <c r="B593" s="66"/>
    </row>
    <row r="594" spans="2:2">
      <c r="B594" s="66"/>
    </row>
    <row r="595" spans="2:2">
      <c r="B595" s="66"/>
    </row>
    <row r="596" spans="2:2">
      <c r="B596" s="66"/>
    </row>
    <row r="597" spans="2:2">
      <c r="B597" s="66"/>
    </row>
    <row r="598" spans="2:2">
      <c r="B598" s="66"/>
    </row>
    <row r="599" spans="2:2">
      <c r="B599" s="66"/>
    </row>
    <row r="600" spans="2:2">
      <c r="B600" s="66"/>
    </row>
    <row r="601" spans="2:2">
      <c r="B601" s="66"/>
    </row>
    <row r="602" spans="2:2">
      <c r="B602" s="66"/>
    </row>
    <row r="603" spans="2:2">
      <c r="B603" s="66"/>
    </row>
    <row r="604" spans="2:2">
      <c r="B604" s="66"/>
    </row>
    <row r="605" spans="2:2">
      <c r="B605" s="66"/>
    </row>
    <row r="606" spans="2:2">
      <c r="B606" s="66"/>
    </row>
    <row r="607" spans="2:2">
      <c r="B607" s="66"/>
    </row>
    <row r="608" spans="2:2">
      <c r="B608" s="66"/>
    </row>
    <row r="609" spans="2:2">
      <c r="B609" s="66"/>
    </row>
    <row r="610" spans="2:2">
      <c r="B610" s="66"/>
    </row>
    <row r="611" spans="2:2">
      <c r="B611" s="66"/>
    </row>
    <row r="612" spans="2:2">
      <c r="B612" s="66"/>
    </row>
    <row r="613" spans="2:2">
      <c r="B613" s="66"/>
    </row>
    <row r="614" spans="2:2">
      <c r="B614" s="66"/>
    </row>
    <row r="615" spans="2:2">
      <c r="B615" s="66"/>
    </row>
    <row r="616" spans="2:2">
      <c r="B616" s="66"/>
    </row>
    <row r="617" spans="2:2">
      <c r="B617" s="66"/>
    </row>
    <row r="618" spans="2:2">
      <c r="B618" s="66"/>
    </row>
    <row r="619" spans="2:2">
      <c r="B619" s="66"/>
    </row>
    <row r="620" spans="2:2">
      <c r="B620" s="66"/>
    </row>
    <row r="621" spans="2:2">
      <c r="B621" s="66"/>
    </row>
    <row r="622" spans="2:2">
      <c r="B622" s="66"/>
    </row>
    <row r="623" spans="2:2">
      <c r="B623" s="66"/>
    </row>
    <row r="624" spans="2:2">
      <c r="B624" s="66"/>
    </row>
    <row r="625" spans="2:2">
      <c r="B625" s="66"/>
    </row>
    <row r="626" spans="2:2">
      <c r="B626" s="66"/>
    </row>
    <row r="627" spans="2:2">
      <c r="B627" s="66"/>
    </row>
    <row r="628" spans="2:2">
      <c r="B628" s="66"/>
    </row>
    <row r="629" spans="2:2">
      <c r="B629" s="66"/>
    </row>
    <row r="630" spans="2:2">
      <c r="B630" s="66"/>
    </row>
    <row r="631" spans="2:2">
      <c r="B631" s="66"/>
    </row>
    <row r="632" spans="2:2">
      <c r="B632" s="66"/>
    </row>
    <row r="633" spans="2:2">
      <c r="B633" s="66"/>
    </row>
    <row r="634" spans="2:2">
      <c r="B634" s="66"/>
    </row>
    <row r="635" spans="2:2">
      <c r="B635" s="66"/>
    </row>
    <row r="636" spans="2:2">
      <c r="B636" s="66"/>
    </row>
    <row r="637" spans="2:2">
      <c r="B637" s="66"/>
    </row>
    <row r="638" spans="2:2">
      <c r="B638" s="66"/>
    </row>
    <row r="639" spans="2:2">
      <c r="B639" s="66"/>
    </row>
    <row r="640" spans="2:2">
      <c r="B640" s="66"/>
    </row>
    <row r="641" spans="2:2">
      <c r="B641" s="66"/>
    </row>
    <row r="642" spans="2:2">
      <c r="B642" s="66"/>
    </row>
    <row r="643" spans="2:2">
      <c r="B643" s="66"/>
    </row>
    <row r="644" spans="2:2">
      <c r="B644" s="66"/>
    </row>
    <row r="645" spans="2:2">
      <c r="B645" s="66"/>
    </row>
    <row r="646" spans="2:2">
      <c r="B646" s="66"/>
    </row>
    <row r="647" spans="2:2">
      <c r="B647" s="66"/>
    </row>
    <row r="648" spans="2:2">
      <c r="B648" s="66"/>
    </row>
    <row r="649" spans="2:2">
      <c r="B649" s="66"/>
    </row>
    <row r="650" spans="2:2">
      <c r="B650" s="66"/>
    </row>
    <row r="651" spans="2:2">
      <c r="B651" s="66"/>
    </row>
    <row r="652" spans="2:2">
      <c r="B652" s="66"/>
    </row>
    <row r="653" spans="2:2">
      <c r="B653" s="66"/>
    </row>
    <row r="654" spans="2:2">
      <c r="B654" s="66"/>
    </row>
    <row r="655" spans="2:2">
      <c r="B655" s="66"/>
    </row>
    <row r="656" spans="2:2">
      <c r="B656" s="66"/>
    </row>
    <row r="657" spans="2:2">
      <c r="B657" s="66"/>
    </row>
    <row r="658" spans="2:2">
      <c r="B658" s="66"/>
    </row>
    <row r="659" spans="2:2">
      <c r="B659" s="66"/>
    </row>
    <row r="660" spans="2:2">
      <c r="B660" s="66"/>
    </row>
    <row r="661" spans="2:2">
      <c r="B661" s="66"/>
    </row>
    <row r="662" spans="2:2">
      <c r="B662" s="66"/>
    </row>
    <row r="663" spans="2:2">
      <c r="B663" s="66"/>
    </row>
    <row r="664" spans="2:2">
      <c r="B664" s="66"/>
    </row>
    <row r="665" spans="2:2">
      <c r="B665" s="66"/>
    </row>
    <row r="666" spans="2:2">
      <c r="B666" s="66"/>
    </row>
    <row r="667" spans="2:2">
      <c r="B667" s="66"/>
    </row>
    <row r="668" spans="2:2">
      <c r="B668" s="66"/>
    </row>
    <row r="669" spans="2:2">
      <c r="B669" s="66"/>
    </row>
    <row r="670" spans="2:2">
      <c r="B670" s="66"/>
    </row>
    <row r="671" spans="2:2">
      <c r="B671" s="66"/>
    </row>
    <row r="672" spans="2:2">
      <c r="B672" s="66"/>
    </row>
    <row r="673" spans="2:2">
      <c r="B673" s="66"/>
    </row>
    <row r="674" spans="2:2">
      <c r="B674" s="66"/>
    </row>
    <row r="675" spans="2:2">
      <c r="B675" s="66"/>
    </row>
    <row r="676" spans="2:2">
      <c r="B676" s="66"/>
    </row>
    <row r="677" spans="2:2">
      <c r="B677" s="66"/>
    </row>
    <row r="678" spans="2:2">
      <c r="B678" s="66"/>
    </row>
    <row r="679" spans="2:2">
      <c r="B679" s="66"/>
    </row>
    <row r="680" spans="2:2">
      <c r="B680" s="66"/>
    </row>
    <row r="681" spans="2:2">
      <c r="B681" s="66"/>
    </row>
    <row r="682" spans="2:2">
      <c r="B682" s="66"/>
    </row>
    <row r="683" spans="2:2">
      <c r="B683" s="66"/>
    </row>
    <row r="684" spans="2:2">
      <c r="B684" s="66"/>
    </row>
    <row r="685" spans="2:2">
      <c r="B685" s="66"/>
    </row>
    <row r="686" spans="2:2">
      <c r="B686" s="66"/>
    </row>
    <row r="687" spans="2:2">
      <c r="B687" s="66"/>
    </row>
    <row r="688" spans="2:2">
      <c r="B688" s="66"/>
    </row>
    <row r="689" spans="2:2">
      <c r="B689" s="66"/>
    </row>
    <row r="690" spans="2:2">
      <c r="B690" s="66"/>
    </row>
    <row r="691" spans="2:2">
      <c r="B691" s="66"/>
    </row>
    <row r="692" spans="2:2">
      <c r="B692" s="66"/>
    </row>
    <row r="693" spans="2:2">
      <c r="B693" s="66"/>
    </row>
    <row r="694" spans="2:2">
      <c r="B694" s="66"/>
    </row>
    <row r="695" spans="2:2">
      <c r="B695" s="66"/>
    </row>
    <row r="696" spans="2:2">
      <c r="B696" s="66"/>
    </row>
    <row r="697" spans="2:2">
      <c r="B697" s="66"/>
    </row>
    <row r="698" spans="2:2">
      <c r="B698" s="66"/>
    </row>
    <row r="699" spans="2:2">
      <c r="B699" s="66"/>
    </row>
    <row r="700" spans="2:2">
      <c r="B700" s="66"/>
    </row>
    <row r="701" spans="2:2">
      <c r="B701" s="66"/>
    </row>
    <row r="702" spans="2:2">
      <c r="B702" s="66"/>
    </row>
    <row r="703" spans="2:2">
      <c r="B703" s="66"/>
    </row>
    <row r="704" spans="2:2">
      <c r="B704" s="66"/>
    </row>
    <row r="705" spans="2:2">
      <c r="B705" s="66"/>
    </row>
    <row r="706" spans="2:2">
      <c r="B706" s="66"/>
    </row>
    <row r="707" spans="2:2">
      <c r="B707" s="66"/>
    </row>
    <row r="708" spans="2:2">
      <c r="B708" s="66"/>
    </row>
    <row r="709" spans="2:2">
      <c r="B709" s="66"/>
    </row>
    <row r="710" spans="2:2">
      <c r="B710" s="66"/>
    </row>
    <row r="711" spans="2:2">
      <c r="B711" s="66"/>
    </row>
    <row r="712" spans="2:2">
      <c r="B712" s="66"/>
    </row>
    <row r="713" spans="2:2">
      <c r="B713" s="66"/>
    </row>
    <row r="714" spans="2:2">
      <c r="B714" s="66"/>
    </row>
    <row r="715" spans="2:2">
      <c r="B715" s="66"/>
    </row>
    <row r="716" spans="2:2">
      <c r="B716" s="66"/>
    </row>
    <row r="717" spans="2:2">
      <c r="B717" s="66"/>
    </row>
    <row r="718" spans="2:2">
      <c r="B718" s="66"/>
    </row>
    <row r="719" spans="2:2">
      <c r="B719" s="66"/>
    </row>
    <row r="720" spans="2:2">
      <c r="B720" s="66"/>
    </row>
    <row r="721" spans="2:2">
      <c r="B721" s="66"/>
    </row>
    <row r="722" spans="2:2">
      <c r="B722" s="66"/>
    </row>
    <row r="723" spans="2:2">
      <c r="B723" s="66"/>
    </row>
    <row r="724" spans="2:2">
      <c r="B724" s="66"/>
    </row>
    <row r="725" spans="2:2">
      <c r="B725" s="66"/>
    </row>
    <row r="726" spans="2:2">
      <c r="B726" s="66"/>
    </row>
    <row r="727" spans="2:2">
      <c r="B727" s="66"/>
    </row>
    <row r="728" spans="2:2">
      <c r="B728" s="66"/>
    </row>
    <row r="729" spans="2:2">
      <c r="B729" s="66"/>
    </row>
    <row r="730" spans="2:2">
      <c r="B730" s="66"/>
    </row>
    <row r="731" spans="2:2">
      <c r="B731" s="66"/>
    </row>
    <row r="732" spans="2:2">
      <c r="B732" s="66"/>
    </row>
    <row r="733" spans="2:2">
      <c r="B733" s="66"/>
    </row>
    <row r="734" spans="2:2">
      <c r="B734" s="66"/>
    </row>
    <row r="735" spans="2:2">
      <c r="B735" s="66"/>
    </row>
    <row r="736" spans="2:2">
      <c r="B736" s="66"/>
    </row>
    <row r="737" spans="2:2">
      <c r="B737" s="66"/>
    </row>
    <row r="738" spans="2:2">
      <c r="B738" s="66"/>
    </row>
    <row r="739" spans="2:2">
      <c r="B739" s="66"/>
    </row>
    <row r="740" spans="2:2">
      <c r="B740" s="66"/>
    </row>
    <row r="741" spans="2:2">
      <c r="B741" s="66"/>
    </row>
    <row r="742" spans="2:2">
      <c r="B742" s="66"/>
    </row>
    <row r="743" spans="2:2">
      <c r="B743" s="66"/>
    </row>
    <row r="744" spans="2:2">
      <c r="B744" s="66"/>
    </row>
    <row r="745" spans="2:2">
      <c r="B745" s="66"/>
    </row>
    <row r="746" spans="2:2">
      <c r="B746" s="66"/>
    </row>
    <row r="747" spans="2:2">
      <c r="B747" s="66"/>
    </row>
    <row r="748" spans="2:2">
      <c r="B748" s="66"/>
    </row>
    <row r="749" spans="2:2">
      <c r="B749" s="66"/>
    </row>
    <row r="750" spans="2:2">
      <c r="B750" s="66"/>
    </row>
    <row r="751" spans="2:2">
      <c r="B751" s="66"/>
    </row>
    <row r="752" spans="2:2">
      <c r="B752" s="66"/>
    </row>
    <row r="753" spans="2:2">
      <c r="B753" s="66"/>
    </row>
    <row r="754" spans="2:2">
      <c r="B754" s="66"/>
    </row>
    <row r="755" spans="2:2">
      <c r="B755" s="66"/>
    </row>
    <row r="756" spans="2:2">
      <c r="B756" s="66"/>
    </row>
    <row r="757" spans="2:2">
      <c r="B757" s="66"/>
    </row>
    <row r="758" spans="2:2">
      <c r="B758" s="66"/>
    </row>
    <row r="759" spans="2:2">
      <c r="B759" s="66"/>
    </row>
    <row r="760" spans="2:2">
      <c r="B760" s="66"/>
    </row>
    <row r="761" spans="2:2">
      <c r="B761" s="66"/>
    </row>
    <row r="762" spans="2:2">
      <c r="B762" s="66"/>
    </row>
    <row r="763" spans="2:2">
      <c r="B763" s="66"/>
    </row>
    <row r="764" spans="2:2">
      <c r="B764" s="66"/>
    </row>
    <row r="765" spans="2:2">
      <c r="B765" s="66"/>
    </row>
    <row r="766" spans="2:2">
      <c r="B766" s="66"/>
    </row>
    <row r="767" spans="2:2">
      <c r="B767" s="66"/>
    </row>
    <row r="768" spans="2:2">
      <c r="B768" s="66"/>
    </row>
    <row r="769" spans="2:2">
      <c r="B769" s="66"/>
    </row>
    <row r="770" spans="2:2">
      <c r="B770" s="66"/>
    </row>
    <row r="771" spans="2:2">
      <c r="B771" s="66"/>
    </row>
    <row r="772" spans="2:2">
      <c r="B772" s="66"/>
    </row>
    <row r="773" spans="2:2">
      <c r="B773" s="66"/>
    </row>
    <row r="774" spans="2:2">
      <c r="B774" s="66"/>
    </row>
    <row r="775" spans="2:2">
      <c r="B775" s="66"/>
    </row>
    <row r="776" spans="2:2">
      <c r="B776" s="66"/>
    </row>
    <row r="777" spans="2:2">
      <c r="B777" s="66"/>
    </row>
    <row r="778" spans="2:2">
      <c r="B778" s="66"/>
    </row>
    <row r="779" spans="2:2">
      <c r="B779" s="66"/>
    </row>
    <row r="780" spans="2:2">
      <c r="B780" s="66"/>
    </row>
    <row r="781" spans="2:2">
      <c r="B781" s="66"/>
    </row>
    <row r="782" spans="2:2">
      <c r="B782" s="66"/>
    </row>
    <row r="783" spans="2:2">
      <c r="B783" s="66"/>
    </row>
    <row r="784" spans="2:2">
      <c r="B784" s="66"/>
    </row>
    <row r="785" spans="2:2">
      <c r="B785" s="66"/>
    </row>
    <row r="786" spans="2:2">
      <c r="B786" s="66"/>
    </row>
    <row r="787" spans="2:2">
      <c r="B787" s="66"/>
    </row>
    <row r="788" spans="2:2">
      <c r="B788" s="66"/>
    </row>
    <row r="789" spans="2:2">
      <c r="B789" s="66"/>
    </row>
    <row r="790" spans="2:2">
      <c r="B790" s="66"/>
    </row>
    <row r="791" spans="2:2">
      <c r="B791" s="66"/>
    </row>
    <row r="792" spans="2:2">
      <c r="B792" s="66"/>
    </row>
    <row r="793" spans="2:2">
      <c r="B793" s="66"/>
    </row>
    <row r="794" spans="2:2">
      <c r="B794" s="66"/>
    </row>
    <row r="795" spans="2:2">
      <c r="B795" s="66"/>
    </row>
    <row r="796" spans="2:2">
      <c r="B796" s="66"/>
    </row>
    <row r="797" spans="2:2">
      <c r="B797" s="66"/>
    </row>
    <row r="798" spans="2:2">
      <c r="B798" s="66"/>
    </row>
    <row r="799" spans="2:2">
      <c r="B799" s="66"/>
    </row>
    <row r="800" spans="2:2">
      <c r="B800" s="66"/>
    </row>
    <row r="801" spans="2:2">
      <c r="B801" s="66"/>
    </row>
    <row r="802" spans="2:2">
      <c r="B802" s="66"/>
    </row>
    <row r="803" spans="2:2">
      <c r="B803" s="66"/>
    </row>
    <row r="804" spans="2:2">
      <c r="B804" s="66"/>
    </row>
    <row r="805" spans="2:2">
      <c r="B805" s="66"/>
    </row>
    <row r="806" spans="2:2">
      <c r="B806" s="66"/>
    </row>
    <row r="807" spans="2:2">
      <c r="B807" s="66"/>
    </row>
    <row r="808" spans="2:2">
      <c r="B808" s="66"/>
    </row>
    <row r="809" spans="2:2">
      <c r="B809" s="66"/>
    </row>
    <row r="810" spans="2:2">
      <c r="B810" s="66"/>
    </row>
    <row r="811" spans="2:2">
      <c r="B811" s="66"/>
    </row>
    <row r="812" spans="2:2">
      <c r="B812" s="66"/>
    </row>
    <row r="813" spans="2:2">
      <c r="B813" s="66"/>
    </row>
    <row r="814" spans="2:2">
      <c r="B814" s="66"/>
    </row>
    <row r="815" spans="2:2">
      <c r="B815" s="66"/>
    </row>
    <row r="816" spans="2:2">
      <c r="B816" s="66"/>
    </row>
    <row r="817" spans="2:2">
      <c r="B817" s="66"/>
    </row>
    <row r="818" spans="2:2">
      <c r="B818" s="66"/>
    </row>
    <row r="819" spans="2:2">
      <c r="B819" s="66"/>
    </row>
    <row r="820" spans="2:2">
      <c r="B820" s="66"/>
    </row>
    <row r="821" spans="2:2">
      <c r="B821" s="66"/>
    </row>
    <row r="822" spans="2:2">
      <c r="B822" s="66"/>
    </row>
    <row r="823" spans="2:2">
      <c r="B823" s="66"/>
    </row>
    <row r="824" spans="2:2">
      <c r="B824" s="66"/>
    </row>
    <row r="825" spans="2:2">
      <c r="B825" s="66"/>
    </row>
    <row r="826" spans="2:2">
      <c r="B826" s="66"/>
    </row>
    <row r="827" spans="2:2">
      <c r="B827" s="66"/>
    </row>
    <row r="828" spans="2:2">
      <c r="B828" s="66"/>
    </row>
    <row r="829" spans="2:2">
      <c r="B829" s="66"/>
    </row>
    <row r="830" spans="2:2">
      <c r="B830" s="66"/>
    </row>
    <row r="831" spans="2:2">
      <c r="B831" s="66"/>
    </row>
    <row r="832" spans="2:2">
      <c r="B832" s="66"/>
    </row>
    <row r="833" spans="2:2">
      <c r="B833" s="66"/>
    </row>
    <row r="834" spans="2:2">
      <c r="B834" s="66"/>
    </row>
    <row r="835" spans="2:2">
      <c r="B835" s="66"/>
    </row>
    <row r="836" spans="2:2">
      <c r="B836" s="66"/>
    </row>
    <row r="837" spans="2:2">
      <c r="B837" s="66"/>
    </row>
    <row r="838" spans="2:2">
      <c r="B838" s="66"/>
    </row>
    <row r="839" spans="2:2">
      <c r="B839" s="66"/>
    </row>
    <row r="840" spans="2:2">
      <c r="B840" s="66"/>
    </row>
    <row r="841" spans="2:2">
      <c r="B841" s="66"/>
    </row>
    <row r="842" spans="2:2">
      <c r="B842" s="66"/>
    </row>
    <row r="843" spans="2:2">
      <c r="B843" s="66"/>
    </row>
    <row r="844" spans="2:2">
      <c r="B844" s="66"/>
    </row>
    <row r="845" spans="2:2">
      <c r="B845" s="66"/>
    </row>
    <row r="846" spans="2:2">
      <c r="B846" s="66"/>
    </row>
    <row r="847" spans="2:2">
      <c r="B847" s="66"/>
    </row>
    <row r="848" spans="2:2">
      <c r="B848" s="66"/>
    </row>
    <row r="849" spans="2:2">
      <c r="B849" s="66"/>
    </row>
    <row r="850" spans="2:2">
      <c r="B850" s="66"/>
    </row>
    <row r="851" spans="2:2">
      <c r="B851" s="66"/>
    </row>
    <row r="852" spans="2:2">
      <c r="B852" s="66"/>
    </row>
    <row r="853" spans="2:2">
      <c r="B853" s="66"/>
    </row>
    <row r="854" spans="2:2">
      <c r="B854" s="66"/>
    </row>
    <row r="855" spans="2:2">
      <c r="B855" s="66"/>
    </row>
    <row r="856" spans="2:2">
      <c r="B856" s="66"/>
    </row>
    <row r="857" spans="2:2">
      <c r="B857" s="66"/>
    </row>
    <row r="858" spans="2:2">
      <c r="B858" s="66"/>
    </row>
    <row r="859" spans="2:2">
      <c r="B859" s="66"/>
    </row>
    <row r="860" spans="2:2">
      <c r="B860" s="66"/>
    </row>
    <row r="861" spans="2:2">
      <c r="B861" s="66"/>
    </row>
    <row r="862" spans="2:2">
      <c r="B862" s="66"/>
    </row>
    <row r="863" spans="2:2">
      <c r="B863" s="66"/>
    </row>
    <row r="864" spans="2:2">
      <c r="B864" s="66"/>
    </row>
    <row r="865" spans="2:2">
      <c r="B865" s="66"/>
    </row>
    <row r="866" spans="2:2">
      <c r="B866" s="66"/>
    </row>
    <row r="867" spans="2:2">
      <c r="B867" s="66"/>
    </row>
    <row r="868" spans="2:2">
      <c r="B868" s="66"/>
    </row>
    <row r="869" spans="2:2">
      <c r="B869" s="66"/>
    </row>
    <row r="870" spans="2:2">
      <c r="B870" s="66"/>
    </row>
    <row r="871" spans="2:2">
      <c r="B871" s="66"/>
    </row>
    <row r="872" spans="2:2">
      <c r="B872" s="66"/>
    </row>
    <row r="873" spans="2:2">
      <c r="B873" s="66"/>
    </row>
    <row r="874" spans="2:2">
      <c r="B874" s="66"/>
    </row>
    <row r="875" spans="2:2">
      <c r="B875" s="66"/>
    </row>
    <row r="876" spans="2:2">
      <c r="B876" s="66"/>
    </row>
  </sheetData>
  <sheetProtection algorithmName="SHA-512" hashValue="pLVMHfSLhp+LJ+b86bxp6XRstyieM48i7u6/XJwK4I4Z7nt+r2Wp7BkYs6Q7Wqjt4db64vaAbDLsVsxR6wrAHA==" saltValue="yASdsl071y9mHsYZY6unmA==" spinCount="100000" sheet="1" objects="1" scenarios="1"/>
  <mergeCells count="5">
    <mergeCell ref="B7:C7"/>
    <mergeCell ref="B9:C9"/>
    <mergeCell ref="H11:H23"/>
    <mergeCell ref="M11:M23"/>
    <mergeCell ref="R11:R2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82A44-2269-D844-A9AE-A78E874314DD}">
  <sheetPr codeName="Sheet3"/>
  <dimension ref="B6:R904"/>
  <sheetViews>
    <sheetView showGridLines="0" zoomScaleNormal="100" workbookViewId="0">
      <selection activeCell="B7" sqref="B7:C7"/>
    </sheetView>
  </sheetViews>
  <sheetFormatPr baseColWidth="10" defaultColWidth="10.83203125" defaultRowHeight="15"/>
  <cols>
    <col min="1" max="1" width="1.6640625" style="2" customWidth="1"/>
    <col min="2" max="2" width="4.5" style="2" customWidth="1"/>
    <col min="3" max="3" width="46" style="66" customWidth="1"/>
    <col min="4" max="4" width="12.1640625" style="2" customWidth="1"/>
    <col min="5" max="7" width="14.5" style="2" customWidth="1"/>
    <col min="8" max="8" width="15.33203125" style="2" customWidth="1"/>
    <col min="9" max="11" width="12.83203125" style="2" hidden="1" customWidth="1"/>
    <col min="12" max="12" width="15" style="2" customWidth="1"/>
    <col min="13" max="15" width="12.1640625" style="2" hidden="1" customWidth="1"/>
    <col min="16" max="16" width="13.1640625" style="2" customWidth="1"/>
    <col min="17" max="16384" width="10.83203125" style="2"/>
  </cols>
  <sheetData>
    <row r="6" spans="2:16">
      <c r="J6" s="79"/>
    </row>
    <row r="7" spans="2:16" ht="21" customHeight="1">
      <c r="B7" s="140" t="s">
        <v>415</v>
      </c>
      <c r="C7" s="140"/>
      <c r="D7" s="1"/>
    </row>
    <row r="9" spans="2:16" s="9" customFormat="1" ht="20" customHeight="1">
      <c r="B9" s="141" t="s">
        <v>71</v>
      </c>
      <c r="C9" s="141"/>
      <c r="D9" s="5" t="s">
        <v>20</v>
      </c>
      <c r="E9" s="6" t="s">
        <v>0</v>
      </c>
      <c r="F9" s="6" t="s">
        <v>1</v>
      </c>
      <c r="G9" s="6" t="s">
        <v>2</v>
      </c>
      <c r="H9" s="8" t="s">
        <v>6</v>
      </c>
      <c r="I9" s="6" t="s">
        <v>0</v>
      </c>
      <c r="J9" s="6" t="s">
        <v>1</v>
      </c>
      <c r="K9" s="6" t="s">
        <v>2</v>
      </c>
      <c r="L9" s="8" t="s">
        <v>7</v>
      </c>
      <c r="M9" s="6" t="s">
        <v>8</v>
      </c>
      <c r="N9" s="6" t="s">
        <v>9</v>
      </c>
      <c r="O9" s="6" t="s">
        <v>11</v>
      </c>
      <c r="P9" s="8" t="s">
        <v>15</v>
      </c>
    </row>
    <row r="10" spans="2:16">
      <c r="B10" s="10" t="s">
        <v>322</v>
      </c>
      <c r="C10" s="11"/>
      <c r="D10" s="11"/>
    </row>
    <row r="11" spans="2:16" ht="16">
      <c r="C11" s="11" t="s">
        <v>323</v>
      </c>
      <c r="D11" s="11" t="s">
        <v>21</v>
      </c>
      <c r="E11" s="12">
        <v>109781</v>
      </c>
      <c r="F11" s="12">
        <v>2194</v>
      </c>
      <c r="G11" s="34">
        <v>160</v>
      </c>
      <c r="H11" s="13">
        <f>SUM(E11:G11)</f>
        <v>112135</v>
      </c>
      <c r="I11" s="12">
        <v>82253.5</v>
      </c>
      <c r="J11" s="12">
        <v>24454</v>
      </c>
      <c r="K11" s="12">
        <v>88.5</v>
      </c>
      <c r="L11" s="13">
        <f>SUM(I11:K11)</f>
        <v>106796</v>
      </c>
      <c r="M11" s="12">
        <v>35874.300000000003</v>
      </c>
      <c r="N11" s="12">
        <v>21339.789999999997</v>
      </c>
      <c r="O11" s="12">
        <v>19388.8</v>
      </c>
      <c r="P11" s="13">
        <f>SUM(M11:O11)</f>
        <v>76602.89</v>
      </c>
    </row>
    <row r="12" spans="2:16" ht="16">
      <c r="C12" s="11" t="s">
        <v>324</v>
      </c>
      <c r="D12" s="11" t="s">
        <v>21</v>
      </c>
      <c r="E12" s="12">
        <v>28490</v>
      </c>
      <c r="F12" s="12">
        <v>54657</v>
      </c>
      <c r="G12" s="34">
        <v>4909</v>
      </c>
      <c r="H12" s="13">
        <f>SUM(E12:G12)</f>
        <v>88056</v>
      </c>
      <c r="I12" s="12">
        <v>40870</v>
      </c>
      <c r="J12" s="12">
        <v>27596.73</v>
      </c>
      <c r="K12" s="12">
        <v>234.5</v>
      </c>
      <c r="L12" s="13">
        <f>SUM(I12:K12)</f>
        <v>68701.23</v>
      </c>
      <c r="M12" s="12">
        <v>30626</v>
      </c>
      <c r="N12" s="12">
        <v>18938</v>
      </c>
      <c r="O12" s="12">
        <v>8705</v>
      </c>
      <c r="P12" s="13">
        <f>SUM(M12:O12)</f>
        <v>58269</v>
      </c>
    </row>
    <row r="13" spans="2:16" s="15" customFormat="1" ht="16">
      <c r="C13" s="16" t="s">
        <v>325</v>
      </c>
      <c r="D13" s="16" t="s">
        <v>21</v>
      </c>
      <c r="E13" s="18">
        <f>SUM(E11:E12)</f>
        <v>138271</v>
      </c>
      <c r="F13" s="18">
        <f>SUM(F11:F12)</f>
        <v>56851</v>
      </c>
      <c r="G13" s="17">
        <f>SUM(G11:G12)</f>
        <v>5069</v>
      </c>
      <c r="H13" s="32">
        <f>SUM(E13:G13)</f>
        <v>200191</v>
      </c>
      <c r="I13" s="18">
        <f>SUM(I11:I12)</f>
        <v>123123.5</v>
      </c>
      <c r="J13" s="18">
        <f>SUM(J11:J12)</f>
        <v>52050.729999999996</v>
      </c>
      <c r="K13" s="18">
        <f>SUM(K11:K12)</f>
        <v>323</v>
      </c>
      <c r="L13" s="32">
        <f>SUM(I13:K13)</f>
        <v>175497.22999999998</v>
      </c>
      <c r="M13" s="18">
        <f t="shared" ref="M13:P13" si="0">SUM(M11:M12)</f>
        <v>66500.3</v>
      </c>
      <c r="N13" s="18">
        <f t="shared" si="0"/>
        <v>40277.789999999994</v>
      </c>
      <c r="O13" s="18">
        <f t="shared" si="0"/>
        <v>28093.8</v>
      </c>
      <c r="P13" s="32">
        <f t="shared" si="0"/>
        <v>134871.89000000001</v>
      </c>
    </row>
    <row r="14" spans="2:16" ht="16">
      <c r="C14" s="11" t="s">
        <v>326</v>
      </c>
      <c r="D14" s="11" t="s">
        <v>22</v>
      </c>
      <c r="E14" s="80">
        <f>E13/[1]Negocio!D11</f>
        <v>0.31903121531855594</v>
      </c>
      <c r="F14" s="80">
        <f>F13/[1]Negocio!E11</f>
        <v>0.12892172536640564</v>
      </c>
      <c r="G14" s="81" t="s">
        <v>16</v>
      </c>
      <c r="H14" s="82">
        <f>H13/[1]Negocio!K11</f>
        <v>0.22895141940250371</v>
      </c>
      <c r="I14" s="80">
        <f>I13/[1]Negocio!L11</f>
        <v>0.29862382762191886</v>
      </c>
      <c r="J14" s="80">
        <f>J13/[1]Negocio!M11</f>
        <v>0.12327314625129369</v>
      </c>
      <c r="K14" s="81" t="s">
        <v>16</v>
      </c>
      <c r="L14" s="82">
        <f>L13/[1]Negocio!S11</f>
        <v>0.21029166896333557</v>
      </c>
      <c r="M14" s="83">
        <f>M13/[1]Negocio!T11</f>
        <v>0.16049112476016944</v>
      </c>
      <c r="N14" s="83">
        <f>N13/[1]Negocio!U11</f>
        <v>9.6240006308032686E-2</v>
      </c>
      <c r="O14" s="83">
        <f>O13/[1]Negocio!W11</f>
        <v>0.51496288149573821</v>
      </c>
      <c r="P14" s="84">
        <f>P13/[1]Negocio!AA11</f>
        <v>0.15198134150079332</v>
      </c>
    </row>
    <row r="15" spans="2:16" ht="16">
      <c r="C15" s="11" t="s">
        <v>327</v>
      </c>
      <c r="D15" s="11" t="s">
        <v>23</v>
      </c>
      <c r="E15" s="85">
        <f>E13/[1]Negocio!D14</f>
        <v>2.1942076320803625E-2</v>
      </c>
      <c r="F15" s="85">
        <f>F13/[1]Negocio!E14</f>
        <v>2.3690818791968684E-2</v>
      </c>
      <c r="G15" s="81" t="s">
        <v>16</v>
      </c>
      <c r="H15" s="86">
        <f>H13/[1]Negocio!K14</f>
        <v>2.3006908243934299E-2</v>
      </c>
      <c r="I15" s="87">
        <f>I13/[1]Negocio!L14</f>
        <v>1.8656904699597066E-2</v>
      </c>
      <c r="J15" s="87">
        <f>J13/[1]Negocio!M14</f>
        <v>2.1981513827255172E-2</v>
      </c>
      <c r="K15" s="88" t="s">
        <v>16</v>
      </c>
      <c r="L15" s="89">
        <f>L13/[1]Negocio!S14</f>
        <v>1.9570832197259257E-2</v>
      </c>
      <c r="M15" s="90">
        <f>M13/[1]Negocio!T14</f>
        <v>1.2317317867050249E-2</v>
      </c>
      <c r="N15" s="90">
        <f>N13/[1]Negocio!U14</f>
        <v>1.6349345584379102E-2</v>
      </c>
      <c r="O15" s="90">
        <f>O13/[1]Negocio!W14</f>
        <v>7.2174551956593225E-2</v>
      </c>
      <c r="P15" s="91">
        <f>P13/[1]Negocio!AA14</f>
        <v>1.6344646776009979E-2</v>
      </c>
    </row>
    <row r="16" spans="2:16">
      <c r="B16" s="10" t="s">
        <v>328</v>
      </c>
      <c r="C16" s="11"/>
      <c r="D16" s="11"/>
      <c r="H16" s="79"/>
    </row>
    <row r="17" spans="2:16" ht="32">
      <c r="C17" s="11" t="s">
        <v>329</v>
      </c>
      <c r="D17" s="11" t="s">
        <v>21</v>
      </c>
      <c r="E17" s="12">
        <f>388353+201.9</f>
        <v>388554.9</v>
      </c>
      <c r="F17" s="12">
        <f>120820+5230+15560+170+1120+790</f>
        <v>143690</v>
      </c>
      <c r="G17" s="12">
        <v>4600</v>
      </c>
      <c r="H17" s="13">
        <f t="shared" ref="H17:H23" si="1">SUM(E17:G17)</f>
        <v>536844.9</v>
      </c>
      <c r="I17" s="12">
        <v>282950</v>
      </c>
      <c r="J17" s="12">
        <v>155220</v>
      </c>
      <c r="K17" s="12">
        <v>0</v>
      </c>
      <c r="L17" s="13">
        <f t="shared" ref="L17:L21" si="2">SUM(I17:K17)</f>
        <v>438170</v>
      </c>
      <c r="M17" s="12">
        <v>246711.1</v>
      </c>
      <c r="N17" s="12">
        <v>190979</v>
      </c>
      <c r="O17" s="12">
        <v>18990</v>
      </c>
      <c r="P17" s="13">
        <f t="shared" ref="P17:P24" si="3">SUM(M17:O17)</f>
        <v>456680.1</v>
      </c>
    </row>
    <row r="18" spans="2:16" ht="16">
      <c r="C18" s="11" t="s">
        <v>330</v>
      </c>
      <c r="D18" s="11" t="s">
        <v>21</v>
      </c>
      <c r="E18" s="12">
        <v>19650</v>
      </c>
      <c r="F18" s="35">
        <v>19271</v>
      </c>
      <c r="G18" s="12"/>
      <c r="H18" s="13">
        <f t="shared" si="1"/>
        <v>38921</v>
      </c>
      <c r="I18" s="12">
        <v>12370</v>
      </c>
      <c r="J18" s="12">
        <v>0</v>
      </c>
      <c r="K18" s="12">
        <v>0</v>
      </c>
      <c r="L18" s="13">
        <f t="shared" si="2"/>
        <v>12370</v>
      </c>
      <c r="M18" s="12">
        <v>26090</v>
      </c>
      <c r="N18" s="12">
        <v>20837.28</v>
      </c>
      <c r="O18" s="12">
        <v>36</v>
      </c>
      <c r="P18" s="13">
        <f t="shared" si="3"/>
        <v>46963.28</v>
      </c>
    </row>
    <row r="19" spans="2:16" ht="16">
      <c r="C19" s="11" t="s">
        <v>331</v>
      </c>
      <c r="D19" s="11" t="s">
        <v>21</v>
      </c>
      <c r="E19" s="12">
        <v>114</v>
      </c>
      <c r="F19" s="12">
        <f>200+70</f>
        <v>270</v>
      </c>
      <c r="G19" s="12"/>
      <c r="H19" s="13">
        <f t="shared" si="1"/>
        <v>384</v>
      </c>
      <c r="I19" s="12">
        <v>0</v>
      </c>
      <c r="J19" s="12">
        <v>637</v>
      </c>
      <c r="K19" s="12">
        <v>0</v>
      </c>
      <c r="L19" s="13">
        <f t="shared" si="2"/>
        <v>637</v>
      </c>
      <c r="M19" s="12">
        <v>0</v>
      </c>
      <c r="N19" s="12">
        <v>280</v>
      </c>
      <c r="O19" s="12">
        <v>32</v>
      </c>
      <c r="P19" s="13">
        <f t="shared" si="3"/>
        <v>312</v>
      </c>
    </row>
    <row r="20" spans="2:16" ht="16">
      <c r="C20" s="11" t="s">
        <v>332</v>
      </c>
      <c r="D20" s="11" t="s">
        <v>21</v>
      </c>
      <c r="E20" s="12">
        <v>1317</v>
      </c>
      <c r="F20" s="12">
        <f>1390+3490</f>
        <v>4880</v>
      </c>
      <c r="G20" s="12">
        <v>3048</v>
      </c>
      <c r="H20" s="13">
        <f t="shared" si="1"/>
        <v>9245</v>
      </c>
      <c r="I20" s="12">
        <v>1968</v>
      </c>
      <c r="J20" s="12">
        <v>4584</v>
      </c>
      <c r="K20" s="12">
        <v>436</v>
      </c>
      <c r="L20" s="13">
        <f t="shared" si="2"/>
        <v>6988</v>
      </c>
      <c r="M20" s="12">
        <v>5300</v>
      </c>
      <c r="N20" s="12">
        <v>3670</v>
      </c>
      <c r="O20" s="12">
        <v>598</v>
      </c>
      <c r="P20" s="13">
        <f t="shared" si="3"/>
        <v>9568</v>
      </c>
    </row>
    <row r="21" spans="2:16" ht="16">
      <c r="C21" s="11" t="s">
        <v>333</v>
      </c>
      <c r="D21" s="11" t="s">
        <v>21</v>
      </c>
      <c r="E21" s="12">
        <v>25480</v>
      </c>
      <c r="F21" s="12"/>
      <c r="G21" s="12">
        <v>2235</v>
      </c>
      <c r="H21" s="13">
        <f t="shared" si="1"/>
        <v>27715</v>
      </c>
      <c r="I21" s="12">
        <v>7060</v>
      </c>
      <c r="J21" s="12">
        <v>0</v>
      </c>
      <c r="K21" s="12">
        <v>0</v>
      </c>
      <c r="L21" s="13">
        <f t="shared" si="2"/>
        <v>7060</v>
      </c>
      <c r="M21" s="12"/>
      <c r="N21" s="12"/>
      <c r="O21" s="12"/>
      <c r="P21" s="13">
        <f t="shared" si="3"/>
        <v>0</v>
      </c>
    </row>
    <row r="22" spans="2:16" ht="16">
      <c r="C22" s="11" t="s">
        <v>334</v>
      </c>
      <c r="D22" s="11" t="s">
        <v>21</v>
      </c>
      <c r="E22" s="12">
        <v>91862.5</v>
      </c>
      <c r="F22" s="12">
        <v>0</v>
      </c>
      <c r="G22" s="12">
        <v>13188</v>
      </c>
      <c r="H22" s="13">
        <f t="shared" si="1"/>
        <v>105050.5</v>
      </c>
      <c r="I22" s="12">
        <v>81482</v>
      </c>
      <c r="J22" s="35">
        <v>0</v>
      </c>
      <c r="K22" s="12">
        <v>5698</v>
      </c>
      <c r="L22" s="113" t="s">
        <v>31</v>
      </c>
      <c r="M22" s="12"/>
      <c r="N22" s="12"/>
      <c r="O22" s="12"/>
      <c r="P22" s="13">
        <f t="shared" si="3"/>
        <v>0</v>
      </c>
    </row>
    <row r="23" spans="2:16" ht="16">
      <c r="C23" s="11" t="s">
        <v>335</v>
      </c>
      <c r="D23" s="11"/>
      <c r="E23" s="12">
        <v>247705</v>
      </c>
      <c r="F23" s="12">
        <v>58940</v>
      </c>
      <c r="G23" s="12">
        <v>5130</v>
      </c>
      <c r="H23" s="13">
        <f t="shared" si="1"/>
        <v>311775</v>
      </c>
      <c r="I23" s="12">
        <v>252950</v>
      </c>
      <c r="J23" s="35">
        <v>68060</v>
      </c>
      <c r="K23" s="12">
        <v>1626</v>
      </c>
      <c r="L23" s="113" t="s">
        <v>30</v>
      </c>
      <c r="M23" s="12">
        <v>266087</v>
      </c>
      <c r="N23" s="12">
        <v>61740</v>
      </c>
      <c r="O23" s="12">
        <v>13911</v>
      </c>
      <c r="P23" s="13">
        <f t="shared" si="3"/>
        <v>341738</v>
      </c>
    </row>
    <row r="24" spans="2:16" ht="16">
      <c r="C24" s="16" t="s">
        <v>336</v>
      </c>
      <c r="D24" s="16" t="s">
        <v>21</v>
      </c>
      <c r="E24" s="92">
        <f t="shared" ref="E24:O24" si="4">SUM(E17:E23)</f>
        <v>774683.4</v>
      </c>
      <c r="F24" s="92">
        <f t="shared" si="4"/>
        <v>227051</v>
      </c>
      <c r="G24" s="92">
        <f t="shared" si="4"/>
        <v>28201</v>
      </c>
      <c r="H24" s="93">
        <f t="shared" si="4"/>
        <v>1029935.4</v>
      </c>
      <c r="I24" s="92">
        <f t="shared" si="4"/>
        <v>638780</v>
      </c>
      <c r="J24" s="92">
        <f t="shared" si="4"/>
        <v>228501</v>
      </c>
      <c r="K24" s="92">
        <f t="shared" si="4"/>
        <v>7760</v>
      </c>
      <c r="L24" s="93">
        <f t="shared" si="4"/>
        <v>465225</v>
      </c>
      <c r="M24" s="92">
        <f t="shared" si="4"/>
        <v>544188.1</v>
      </c>
      <c r="N24" s="92">
        <f t="shared" si="4"/>
        <v>277506.28000000003</v>
      </c>
      <c r="O24" s="92">
        <f t="shared" si="4"/>
        <v>33567</v>
      </c>
      <c r="P24" s="13">
        <f t="shared" si="3"/>
        <v>855261.38</v>
      </c>
    </row>
    <row r="25" spans="2:16" ht="16">
      <c r="C25" s="11" t="s">
        <v>337</v>
      </c>
      <c r="D25" s="11" t="s">
        <v>22</v>
      </c>
      <c r="E25" s="80">
        <f>E24/[1]Negocio!D11</f>
        <v>1.7874188122535528</v>
      </c>
      <c r="F25" s="80">
        <f>F24/[1]Negocio!E11</f>
        <v>0.51488639894052468</v>
      </c>
      <c r="G25" s="81" t="s">
        <v>16</v>
      </c>
      <c r="H25" s="82">
        <f>H24/[1]Negocio!K11</f>
        <v>1.1779009631945763</v>
      </c>
      <c r="I25" s="80">
        <f>I24/[1]Negocio!L11</f>
        <v>1.5492974826765753</v>
      </c>
      <c r="J25" s="80">
        <f>J24/[1]Negocio!M11</f>
        <v>0.54116507475623998</v>
      </c>
      <c r="K25" s="81" t="s">
        <v>16</v>
      </c>
      <c r="L25" s="82">
        <f>L24/[1]Negocio!S11</f>
        <v>0.55746145790145973</v>
      </c>
      <c r="M25" s="80">
        <f>M24/[1]Negocio!T11</f>
        <v>1.3133378383270384</v>
      </c>
      <c r="N25" s="80">
        <f>N24/[1]Negocio!U11</f>
        <v>0.66307526152052265</v>
      </c>
      <c r="O25" s="80">
        <f>O24/[1]Negocio!W11</f>
        <v>0.61528732471817427</v>
      </c>
      <c r="P25" s="82">
        <f>P24/[1]Negocio!AA11</f>
        <v>0.9637573245708928</v>
      </c>
    </row>
    <row r="26" spans="2:16" ht="16">
      <c r="C26" s="11" t="s">
        <v>338</v>
      </c>
      <c r="D26" s="11" t="s">
        <v>23</v>
      </c>
      <c r="E26" s="85">
        <f>E24/[1]Negocio!D14</f>
        <v>0.12293367580519157</v>
      </c>
      <c r="F26" s="85">
        <f>F24/[1]Negocio!E14</f>
        <v>9.4616173814625629E-2</v>
      </c>
      <c r="G26" s="81" t="s">
        <v>16</v>
      </c>
      <c r="H26" s="86">
        <f>H24/[1]Negocio!K14</f>
        <v>0.11836510754719128</v>
      </c>
      <c r="I26" s="80">
        <f>I24/[1]Negocio!L14</f>
        <v>9.6794337263061997E-2</v>
      </c>
      <c r="J26" s="80">
        <f>J24/[1]Negocio!M14</f>
        <v>9.6498125790774394E-2</v>
      </c>
      <c r="K26" s="81" t="s">
        <v>16</v>
      </c>
      <c r="L26" s="82">
        <f>L24/[1]Negocio!S14</f>
        <v>5.1880251380434547E-2</v>
      </c>
      <c r="M26" s="80">
        <f>M24/[1]Negocio!T14</f>
        <v>0.10079560253361454</v>
      </c>
      <c r="N26" s="80">
        <f>N24/[1]Negocio!U14</f>
        <v>0.11264386833427235</v>
      </c>
      <c r="O26" s="80">
        <f>O24/[1]Negocio!W14</f>
        <v>8.6235510522854331E-2</v>
      </c>
      <c r="P26" s="82">
        <f>P24/[1]Negocio!AA14</f>
        <v>0.10364609821411151</v>
      </c>
    </row>
    <row r="27" spans="2:16" s="94" customFormat="1" ht="16">
      <c r="C27" s="16" t="s">
        <v>339</v>
      </c>
      <c r="D27" s="95" t="s">
        <v>21</v>
      </c>
      <c r="E27" s="18">
        <f t="shared" ref="E27:P27" si="5">E24+E13</f>
        <v>912954.4</v>
      </c>
      <c r="F27" s="18">
        <f t="shared" si="5"/>
        <v>283902</v>
      </c>
      <c r="G27" s="18">
        <f t="shared" si="5"/>
        <v>33270</v>
      </c>
      <c r="H27" s="18">
        <f t="shared" si="5"/>
        <v>1230126.3999999999</v>
      </c>
      <c r="I27" s="18">
        <f t="shared" si="5"/>
        <v>761903.5</v>
      </c>
      <c r="J27" s="18">
        <f t="shared" si="5"/>
        <v>280551.73</v>
      </c>
      <c r="K27" s="18">
        <f t="shared" si="5"/>
        <v>8083</v>
      </c>
      <c r="L27" s="18">
        <f t="shared" si="5"/>
        <v>640722.23</v>
      </c>
      <c r="M27" s="18">
        <f t="shared" si="5"/>
        <v>610688.4</v>
      </c>
      <c r="N27" s="18">
        <f t="shared" si="5"/>
        <v>317784.07</v>
      </c>
      <c r="O27" s="18">
        <f t="shared" si="5"/>
        <v>61660.800000000003</v>
      </c>
      <c r="P27" s="18">
        <f t="shared" si="5"/>
        <v>990133.27</v>
      </c>
    </row>
    <row r="28" spans="2:16" ht="27" customHeight="1">
      <c r="B28" s="143" t="s">
        <v>24</v>
      </c>
      <c r="C28" s="143"/>
      <c r="D28" s="143"/>
      <c r="E28" s="143"/>
      <c r="F28" s="143"/>
      <c r="G28" s="143"/>
      <c r="H28" s="143"/>
      <c r="I28" s="92"/>
      <c r="J28" s="92"/>
      <c r="K28" s="92"/>
      <c r="L28" s="92"/>
      <c r="M28" s="92"/>
      <c r="N28" s="92"/>
      <c r="O28" s="92"/>
      <c r="P28" s="92"/>
    </row>
    <row r="29" spans="2:16" ht="16" thickBot="1">
      <c r="B29" s="27"/>
      <c r="C29" s="28"/>
      <c r="D29" s="96"/>
      <c r="E29" s="92"/>
      <c r="F29" s="92"/>
      <c r="G29" s="92"/>
      <c r="H29" s="92"/>
      <c r="I29" s="92"/>
      <c r="J29" s="92"/>
      <c r="K29" s="92"/>
      <c r="L29" s="92"/>
      <c r="M29" s="92"/>
      <c r="N29" s="92"/>
      <c r="O29" s="92"/>
      <c r="P29" s="92"/>
    </row>
    <row r="30" spans="2:16">
      <c r="B30" s="10" t="s">
        <v>340</v>
      </c>
      <c r="C30" s="11"/>
      <c r="D30" s="11"/>
    </row>
    <row r="31" spans="2:16" ht="16">
      <c r="C31" s="11" t="s">
        <v>341</v>
      </c>
      <c r="D31" s="11" t="s">
        <v>21</v>
      </c>
      <c r="E31" s="12">
        <v>660965.4</v>
      </c>
      <c r="F31" s="12">
        <f>170396+F18</f>
        <v>189667</v>
      </c>
      <c r="G31" s="14">
        <v>0</v>
      </c>
      <c r="H31" s="97">
        <f>SUM(E31:G31)</f>
        <v>850632.4</v>
      </c>
      <c r="I31" s="12">
        <v>546178</v>
      </c>
      <c r="J31" s="12">
        <v>181415</v>
      </c>
      <c r="K31" s="12">
        <v>2.5</v>
      </c>
      <c r="L31" s="97">
        <f>SUM(I31:K31)</f>
        <v>727595.5</v>
      </c>
      <c r="M31" s="98">
        <v>391017.3</v>
      </c>
      <c r="N31" s="98">
        <v>214246</v>
      </c>
      <c r="O31" s="98">
        <v>27534</v>
      </c>
      <c r="P31" s="97">
        <f>SUM(M31:O31)</f>
        <v>632797.30000000005</v>
      </c>
    </row>
    <row r="32" spans="2:16" ht="16">
      <c r="C32" s="11" t="s">
        <v>342</v>
      </c>
      <c r="D32" s="11" t="s">
        <v>21</v>
      </c>
      <c r="E32" s="12">
        <v>44980.5</v>
      </c>
      <c r="F32" s="12">
        <v>35277.49</v>
      </c>
      <c r="G32" s="14">
        <v>0</v>
      </c>
      <c r="H32" s="97">
        <f>SUM(E32:G32)</f>
        <v>80257.989999999991</v>
      </c>
      <c r="I32" s="12">
        <v>55805</v>
      </c>
      <c r="J32" s="12">
        <v>31031</v>
      </c>
      <c r="K32" s="12">
        <v>320.5</v>
      </c>
      <c r="L32" s="97">
        <f>SUM(I32:K32)</f>
        <v>87156.5</v>
      </c>
      <c r="M32" s="98">
        <v>60</v>
      </c>
      <c r="N32" s="98">
        <v>21004</v>
      </c>
      <c r="O32" s="98">
        <v>19388</v>
      </c>
      <c r="P32" s="97">
        <f>SUM(M32:O32)</f>
        <v>40452</v>
      </c>
    </row>
    <row r="33" spans="2:18" ht="16">
      <c r="C33" s="11" t="s">
        <v>343</v>
      </c>
      <c r="D33" s="11" t="s">
        <v>21</v>
      </c>
      <c r="E33" s="12">
        <f>50485.5+156523</f>
        <v>207008.5</v>
      </c>
      <c r="F33" s="12">
        <v>58957.97</v>
      </c>
      <c r="G33" s="14">
        <v>0</v>
      </c>
      <c r="H33" s="97">
        <f>SUM(E33:G33)</f>
        <v>265966.46999999997</v>
      </c>
      <c r="I33" s="12">
        <v>159921</v>
      </c>
      <c r="J33" s="12">
        <f>68060+47</f>
        <v>68107</v>
      </c>
      <c r="K33" s="12">
        <v>7760</v>
      </c>
      <c r="L33" s="97">
        <f>SUM(I33:K33)</f>
        <v>235788</v>
      </c>
      <c r="M33" s="98">
        <v>219611</v>
      </c>
      <c r="N33" s="98">
        <v>82594</v>
      </c>
      <c r="O33" s="98">
        <v>13911</v>
      </c>
      <c r="P33" s="97">
        <f>SUM(M33:O33)</f>
        <v>316116</v>
      </c>
    </row>
    <row r="34" spans="2:18" s="15" customFormat="1" ht="16" customHeight="1">
      <c r="B34" s="94"/>
      <c r="C34" s="16" t="s">
        <v>339</v>
      </c>
      <c r="D34" s="16" t="s">
        <v>21</v>
      </c>
      <c r="E34" s="18">
        <f t="shared" ref="E34:P34" si="6">SUM(E31:E33)</f>
        <v>912954.4</v>
      </c>
      <c r="F34" s="18">
        <f t="shared" si="6"/>
        <v>283902.45999999996</v>
      </c>
      <c r="G34" s="18">
        <f t="shared" si="6"/>
        <v>0</v>
      </c>
      <c r="H34" s="99">
        <f t="shared" si="6"/>
        <v>1196856.8599999999</v>
      </c>
      <c r="I34" s="18">
        <f t="shared" si="6"/>
        <v>761904</v>
      </c>
      <c r="J34" s="18">
        <f t="shared" si="6"/>
        <v>280553</v>
      </c>
      <c r="K34" s="18">
        <f t="shared" si="6"/>
        <v>8083</v>
      </c>
      <c r="L34" s="99">
        <f t="shared" si="6"/>
        <v>1050540</v>
      </c>
      <c r="M34" s="100">
        <f t="shared" si="6"/>
        <v>610688.30000000005</v>
      </c>
      <c r="N34" s="100">
        <f t="shared" si="6"/>
        <v>317844</v>
      </c>
      <c r="O34" s="100">
        <f t="shared" si="6"/>
        <v>60833</v>
      </c>
      <c r="P34" s="99">
        <f t="shared" si="6"/>
        <v>989365.3</v>
      </c>
    </row>
    <row r="35" spans="2:18" ht="16" customHeight="1">
      <c r="C35" s="11" t="s">
        <v>344</v>
      </c>
      <c r="D35" s="11" t="s">
        <v>25</v>
      </c>
      <c r="E35" s="101">
        <f t="shared" ref="E35:P35" si="7">(E31+E32)/E34</f>
        <v>0.77325428301785937</v>
      </c>
      <c r="F35" s="101">
        <f t="shared" si="7"/>
        <v>0.79233018974192759</v>
      </c>
      <c r="G35" s="81" t="s">
        <v>16</v>
      </c>
      <c r="H35" s="102">
        <f t="shared" si="7"/>
        <v>0.77777921580363429</v>
      </c>
      <c r="I35" s="101">
        <f t="shared" si="7"/>
        <v>0.79010347760347766</v>
      </c>
      <c r="J35" s="101">
        <f t="shared" si="7"/>
        <v>0.75724016495991842</v>
      </c>
      <c r="K35" s="101">
        <f t="shared" si="7"/>
        <v>3.9960410738587158E-2</v>
      </c>
      <c r="L35" s="102">
        <f t="shared" si="7"/>
        <v>0.77555542863670113</v>
      </c>
      <c r="M35" s="102">
        <f t="shared" si="7"/>
        <v>0.64038773953913963</v>
      </c>
      <c r="N35" s="102">
        <f t="shared" si="7"/>
        <v>0.74014296321465878</v>
      </c>
      <c r="O35" s="102">
        <f t="shared" si="7"/>
        <v>0.77132477438232538</v>
      </c>
      <c r="P35" s="102">
        <f t="shared" si="7"/>
        <v>0.68048606515712651</v>
      </c>
    </row>
    <row r="36" spans="2:18" ht="16" customHeight="1" thickBot="1">
      <c r="B36" s="27"/>
      <c r="C36" s="28"/>
      <c r="D36" s="28"/>
      <c r="E36" s="27"/>
      <c r="F36" s="27"/>
      <c r="G36" s="27"/>
      <c r="H36" s="27"/>
      <c r="I36" s="27"/>
      <c r="J36" s="27"/>
      <c r="K36" s="27"/>
      <c r="L36" s="27"/>
      <c r="M36" s="27"/>
      <c r="N36" s="27"/>
      <c r="O36" s="29"/>
      <c r="P36" s="29"/>
      <c r="Q36" s="22"/>
      <c r="R36" s="22"/>
    </row>
    <row r="37" spans="2:18">
      <c r="B37" s="10" t="s">
        <v>345</v>
      </c>
      <c r="C37" s="11"/>
      <c r="D37" s="11"/>
      <c r="F37" s="60"/>
    </row>
    <row r="38" spans="2:18" ht="16">
      <c r="C38" s="11" t="s">
        <v>346</v>
      </c>
      <c r="D38" s="11" t="s">
        <v>26</v>
      </c>
      <c r="E38" s="12">
        <f>188364-E39</f>
        <v>170838</v>
      </c>
      <c r="F38" s="12">
        <v>126259</v>
      </c>
      <c r="G38" s="81" t="s">
        <v>16</v>
      </c>
      <c r="H38" s="13">
        <f>SUM(E38:G38)</f>
        <v>297097</v>
      </c>
      <c r="I38" s="12">
        <v>163211</v>
      </c>
      <c r="J38" s="12">
        <v>81106</v>
      </c>
      <c r="K38" s="12" t="s">
        <v>16</v>
      </c>
      <c r="L38" s="13">
        <f>SUM(I38:K38)</f>
        <v>244317</v>
      </c>
      <c r="M38" s="12">
        <v>68268</v>
      </c>
      <c r="N38" s="12">
        <v>110811.70564737369</v>
      </c>
      <c r="O38" s="12">
        <v>6565</v>
      </c>
      <c r="P38" s="13">
        <f>SUM(M38:O38)</f>
        <v>185644.70564737369</v>
      </c>
    </row>
    <row r="39" spans="2:18" ht="16">
      <c r="C39" s="11" t="s">
        <v>347</v>
      </c>
      <c r="D39" s="11" t="s">
        <v>26</v>
      </c>
      <c r="E39" s="12">
        <f>4611+2810+4045+3859+1430+676+95</f>
        <v>17526</v>
      </c>
      <c r="F39" s="12">
        <v>126003</v>
      </c>
      <c r="G39" s="81" t="s">
        <v>16</v>
      </c>
      <c r="H39" s="13">
        <f>SUM(E39:G39)</f>
        <v>143529</v>
      </c>
      <c r="I39" s="12">
        <v>79468</v>
      </c>
      <c r="J39" s="12">
        <v>208159</v>
      </c>
      <c r="K39" s="12" t="s">
        <v>16</v>
      </c>
      <c r="L39" s="13">
        <f>SUM(I39:K39)</f>
        <v>287627</v>
      </c>
      <c r="M39" s="12">
        <v>173423</v>
      </c>
      <c r="N39" s="12">
        <v>176884.71715262631</v>
      </c>
      <c r="O39" s="12">
        <v>12520</v>
      </c>
      <c r="P39" s="13">
        <f>SUM(M39:O39)</f>
        <v>362827.71715262631</v>
      </c>
    </row>
    <row r="40" spans="2:18" s="15" customFormat="1" ht="16">
      <c r="C40" s="16" t="s">
        <v>348</v>
      </c>
      <c r="D40" s="16" t="s">
        <v>26</v>
      </c>
      <c r="E40" s="18">
        <f>SUM(E38:E39)</f>
        <v>188364</v>
      </c>
      <c r="F40" s="18">
        <f>SUM(F38:F39)</f>
        <v>252262</v>
      </c>
      <c r="G40" s="116" t="s">
        <v>16</v>
      </c>
      <c r="H40" s="19">
        <f>SUM(E40:G40)</f>
        <v>440626</v>
      </c>
      <c r="I40" s="18">
        <v>242679</v>
      </c>
      <c r="J40" s="18">
        <v>289265</v>
      </c>
      <c r="K40" s="18" t="s">
        <v>16</v>
      </c>
      <c r="L40" s="19">
        <f>SUM(I40:K40)</f>
        <v>531944</v>
      </c>
      <c r="M40" s="18">
        <v>241691</v>
      </c>
      <c r="N40" s="18">
        <v>287696.4228</v>
      </c>
      <c r="O40" s="18">
        <v>19085</v>
      </c>
      <c r="P40" s="19">
        <f>SUM(M40:O40)</f>
        <v>548472.42280000006</v>
      </c>
    </row>
    <row r="41" spans="2:18" ht="16" customHeight="1">
      <c r="C41" s="11" t="s">
        <v>349</v>
      </c>
      <c r="D41" s="11" t="s">
        <v>26</v>
      </c>
      <c r="E41" s="12">
        <v>533817</v>
      </c>
      <c r="F41" s="12">
        <v>434438</v>
      </c>
      <c r="G41" s="81" t="s">
        <v>16</v>
      </c>
      <c r="H41" s="13">
        <f>SUM(E41:G41)</f>
        <v>968255</v>
      </c>
      <c r="I41" s="12">
        <v>406314</v>
      </c>
      <c r="J41" s="12">
        <v>415442</v>
      </c>
      <c r="K41" s="12" t="s">
        <v>16</v>
      </c>
      <c r="L41" s="13">
        <f>SUM(I41:K41)</f>
        <v>821756</v>
      </c>
      <c r="M41" s="12">
        <v>437227</v>
      </c>
      <c r="N41" s="12">
        <v>402798.43999999994</v>
      </c>
      <c r="O41" s="12">
        <v>54036</v>
      </c>
      <c r="P41" s="13">
        <f>SUM(M41:O41)</f>
        <v>894061.44</v>
      </c>
    </row>
    <row r="42" spans="2:18" ht="16" customHeight="1">
      <c r="C42" s="11" t="s">
        <v>350</v>
      </c>
      <c r="D42" s="11" t="s">
        <v>26</v>
      </c>
      <c r="E42" s="12">
        <v>0</v>
      </c>
      <c r="F42" s="12">
        <v>0</v>
      </c>
      <c r="G42" s="81" t="s">
        <v>16</v>
      </c>
      <c r="H42" s="13">
        <f>SUM(E42:G42)</f>
        <v>0</v>
      </c>
      <c r="I42" s="12"/>
      <c r="J42" s="12"/>
      <c r="K42" s="12" t="s">
        <v>16</v>
      </c>
      <c r="L42" s="13">
        <f>SUM(I42:K42)</f>
        <v>0</v>
      </c>
      <c r="M42" s="12">
        <v>0</v>
      </c>
      <c r="N42" s="12">
        <v>0</v>
      </c>
      <c r="O42" s="12">
        <v>0</v>
      </c>
      <c r="P42" s="13">
        <f>SUM(M42:O42)</f>
        <v>0</v>
      </c>
    </row>
    <row r="43" spans="2:18" s="94" customFormat="1" ht="16" customHeight="1">
      <c r="C43" s="16" t="s">
        <v>351</v>
      </c>
      <c r="D43" s="16" t="s">
        <v>26</v>
      </c>
      <c r="E43" s="103">
        <f>SUM(E40:E42)</f>
        <v>722181</v>
      </c>
      <c r="F43" s="103">
        <f t="shared" ref="F43:H43" si="8">SUM(F40:F42)</f>
        <v>686700</v>
      </c>
      <c r="G43" s="81" t="s">
        <v>16</v>
      </c>
      <c r="H43" s="104">
        <f t="shared" si="8"/>
        <v>1408881</v>
      </c>
      <c r="I43" s="103">
        <f>SUM(I40:I42)</f>
        <v>648993</v>
      </c>
      <c r="J43" s="103">
        <f t="shared" ref="J43:P43" si="9">SUM(J40:J42)</f>
        <v>704707</v>
      </c>
      <c r="K43" s="103" t="s">
        <v>16</v>
      </c>
      <c r="L43" s="104">
        <f t="shared" si="9"/>
        <v>1353700</v>
      </c>
      <c r="M43" s="103">
        <f t="shared" si="9"/>
        <v>678918</v>
      </c>
      <c r="N43" s="103">
        <f t="shared" si="9"/>
        <v>690494.8628</v>
      </c>
      <c r="O43" s="103">
        <f t="shared" si="9"/>
        <v>73121</v>
      </c>
      <c r="P43" s="104">
        <f t="shared" si="9"/>
        <v>1442533.8628</v>
      </c>
    </row>
    <row r="44" spans="2:18" ht="16" customHeight="1" thickBot="1">
      <c r="B44" s="27"/>
      <c r="C44" s="28"/>
      <c r="D44" s="28"/>
      <c r="E44" s="28"/>
      <c r="F44" s="28"/>
      <c r="G44" s="115"/>
      <c r="H44" s="28"/>
      <c r="I44" s="28"/>
      <c r="J44" s="28"/>
      <c r="K44" s="28"/>
      <c r="L44" s="28"/>
      <c r="M44" s="27"/>
      <c r="N44" s="27"/>
      <c r="O44" s="29"/>
      <c r="P44" s="29"/>
      <c r="Q44" s="22"/>
      <c r="R44" s="22"/>
    </row>
    <row r="45" spans="2:18" ht="15" hidden="1" customHeight="1">
      <c r="B45" s="10" t="s">
        <v>352</v>
      </c>
      <c r="C45" s="11"/>
      <c r="D45" s="11"/>
    </row>
    <row r="46" spans="2:18" ht="16" hidden="1" customHeight="1">
      <c r="C46" s="11" t="s">
        <v>353</v>
      </c>
      <c r="D46" s="11" t="s">
        <v>27</v>
      </c>
      <c r="E46" s="70">
        <v>2686543.83</v>
      </c>
      <c r="F46" s="70">
        <v>584504.84</v>
      </c>
      <c r="G46" s="70">
        <v>321298.66760000004</v>
      </c>
      <c r="H46" s="71">
        <f>SUM(E46:G46)</f>
        <v>3592347.3376000002</v>
      </c>
      <c r="I46" s="70">
        <v>1885116</v>
      </c>
      <c r="J46" s="70">
        <v>588702</v>
      </c>
      <c r="K46" s="70">
        <v>4900445.2607999993</v>
      </c>
      <c r="L46" s="71">
        <f>SUM(I46:K46)</f>
        <v>7374263.2607999993</v>
      </c>
      <c r="M46" s="70">
        <v>1437426</v>
      </c>
      <c r="N46" s="70">
        <v>480021</v>
      </c>
      <c r="O46" s="70">
        <v>726810.33</v>
      </c>
      <c r="P46" s="71">
        <f t="shared" ref="P46:P51" si="10">SUM(M46:O46)</f>
        <v>2644257.33</v>
      </c>
    </row>
    <row r="47" spans="2:18" ht="16" hidden="1" customHeight="1">
      <c r="C47" s="11" t="s">
        <v>354</v>
      </c>
      <c r="D47" s="11" t="s">
        <v>27</v>
      </c>
      <c r="E47" s="70">
        <v>51121.58</v>
      </c>
      <c r="F47" s="70">
        <v>1389794.7300000002</v>
      </c>
      <c r="G47" s="70">
        <v>8826874.7564000003</v>
      </c>
      <c r="H47" s="71">
        <f t="shared" ref="H47:H50" si="11">SUM(E47:G47)</f>
        <v>10267791.066400001</v>
      </c>
      <c r="I47" s="70">
        <v>95000</v>
      </c>
      <c r="J47" s="70">
        <v>254250</v>
      </c>
      <c r="K47" s="70">
        <v>1803105.56</v>
      </c>
      <c r="L47" s="71">
        <f t="shared" ref="L47:L50" si="12">SUM(I47:K47)</f>
        <v>2152355.56</v>
      </c>
      <c r="M47" s="70">
        <v>285000</v>
      </c>
      <c r="N47" s="70">
        <v>1023661.19</v>
      </c>
      <c r="O47" s="70">
        <v>71320.72</v>
      </c>
      <c r="P47" s="71">
        <f t="shared" si="10"/>
        <v>1379981.91</v>
      </c>
    </row>
    <row r="48" spans="2:18" ht="16" hidden="1" customHeight="1">
      <c r="C48" s="11" t="s">
        <v>355</v>
      </c>
      <c r="D48" s="11" t="s">
        <v>27</v>
      </c>
      <c r="E48" s="70">
        <v>344651.55</v>
      </c>
      <c r="F48" s="70">
        <v>728589</v>
      </c>
      <c r="G48" s="70">
        <v>276476.99840000004</v>
      </c>
      <c r="H48" s="71">
        <f t="shared" si="11"/>
        <v>1349717.5484000002</v>
      </c>
      <c r="I48" s="70">
        <v>2329195</v>
      </c>
      <c r="J48" s="70">
        <v>530084</v>
      </c>
      <c r="K48" s="70">
        <v>195806.44999999998</v>
      </c>
      <c r="L48" s="71">
        <f t="shared" si="12"/>
        <v>3055085.45</v>
      </c>
      <c r="M48" s="70">
        <v>379302.45</v>
      </c>
      <c r="N48" s="70">
        <v>561745</v>
      </c>
      <c r="O48" s="70">
        <v>325438.93</v>
      </c>
      <c r="P48" s="71">
        <f t="shared" si="10"/>
        <v>1266486.3799999999</v>
      </c>
    </row>
    <row r="49" spans="2:18" ht="32" hidden="1" customHeight="1">
      <c r="C49" s="11" t="s">
        <v>356</v>
      </c>
      <c r="D49" s="11" t="s">
        <v>27</v>
      </c>
      <c r="E49" s="70">
        <v>3489106.74</v>
      </c>
      <c r="F49" s="70">
        <v>299048</v>
      </c>
      <c r="G49" s="70">
        <v>32923754.621999998</v>
      </c>
      <c r="H49" s="71">
        <f t="shared" si="11"/>
        <v>36711909.361999996</v>
      </c>
      <c r="I49" s="70">
        <v>1288188.26</v>
      </c>
      <c r="J49" s="70">
        <v>559041.91</v>
      </c>
      <c r="K49" s="70">
        <v>7441275.4211999988</v>
      </c>
      <c r="L49" s="71">
        <f t="shared" si="12"/>
        <v>9288505.5911999978</v>
      </c>
      <c r="M49" s="70">
        <v>875765</v>
      </c>
      <c r="N49" s="70">
        <v>249696.7</v>
      </c>
      <c r="O49" s="70">
        <v>100794.81</v>
      </c>
      <c r="P49" s="71">
        <f t="shared" si="10"/>
        <v>1226256.51</v>
      </c>
    </row>
    <row r="50" spans="2:18" ht="16" hidden="1" customHeight="1">
      <c r="C50" s="11" t="s">
        <v>357</v>
      </c>
      <c r="D50" s="11" t="s">
        <v>27</v>
      </c>
      <c r="E50" s="70">
        <v>18031550</v>
      </c>
      <c r="F50" s="70">
        <v>41703244</v>
      </c>
      <c r="G50" s="70"/>
      <c r="H50" s="71">
        <f t="shared" si="11"/>
        <v>59734794</v>
      </c>
      <c r="I50" s="70">
        <v>66156708.93</v>
      </c>
      <c r="J50" s="70">
        <v>15917715.83</v>
      </c>
      <c r="K50" s="70"/>
      <c r="L50" s="71">
        <f t="shared" si="12"/>
        <v>82074424.760000005</v>
      </c>
      <c r="M50" s="70">
        <v>3191384</v>
      </c>
      <c r="N50" s="70">
        <v>14184794.395840103</v>
      </c>
      <c r="O50" s="70">
        <v>6408670.0614572922</v>
      </c>
      <c r="P50" s="71">
        <f t="shared" si="10"/>
        <v>23784848.457297392</v>
      </c>
    </row>
    <row r="51" spans="2:18" s="94" customFormat="1" ht="16" hidden="1" customHeight="1">
      <c r="C51" s="16" t="s">
        <v>358</v>
      </c>
      <c r="D51" s="105" t="s">
        <v>27</v>
      </c>
      <c r="E51" s="106">
        <f t="shared" ref="E51:O51" si="13">SUM(E46:E50)</f>
        <v>24602973.699999999</v>
      </c>
      <c r="F51" s="106">
        <f t="shared" si="13"/>
        <v>44705180.57</v>
      </c>
      <c r="G51" s="106">
        <f t="shared" si="13"/>
        <v>42348405.044399999</v>
      </c>
      <c r="H51" s="107">
        <f t="shared" si="13"/>
        <v>111656559.31439999</v>
      </c>
      <c r="I51" s="106">
        <f t="shared" si="13"/>
        <v>71754208.189999998</v>
      </c>
      <c r="J51" s="106">
        <f t="shared" si="13"/>
        <v>17849793.740000002</v>
      </c>
      <c r="K51" s="106">
        <f t="shared" si="13"/>
        <v>14340632.691999998</v>
      </c>
      <c r="L51" s="107">
        <f t="shared" si="13"/>
        <v>103944634.62200001</v>
      </c>
      <c r="M51" s="106">
        <f t="shared" si="13"/>
        <v>6168877.4500000002</v>
      </c>
      <c r="N51" s="106">
        <f t="shared" si="13"/>
        <v>16499918.285840103</v>
      </c>
      <c r="O51" s="106">
        <f t="shared" si="13"/>
        <v>7633034.8514572922</v>
      </c>
      <c r="P51" s="108">
        <f t="shared" si="10"/>
        <v>30301830.587297395</v>
      </c>
    </row>
    <row r="52" spans="2:18" ht="16" hidden="1" customHeight="1" thickBot="1">
      <c r="B52" s="27"/>
      <c r="C52" s="28"/>
      <c r="D52" s="28"/>
      <c r="E52" s="27"/>
      <c r="F52" s="27"/>
      <c r="G52" s="27"/>
      <c r="H52" s="27"/>
      <c r="I52" s="27"/>
      <c r="J52" s="27"/>
      <c r="K52" s="27"/>
      <c r="L52" s="27"/>
      <c r="M52" s="27"/>
      <c r="N52" s="27"/>
      <c r="O52" s="27"/>
      <c r="P52" s="29"/>
      <c r="Q52" s="22"/>
      <c r="R52" s="22"/>
    </row>
    <row r="53" spans="2:18">
      <c r="B53" s="10" t="s">
        <v>359</v>
      </c>
      <c r="C53" s="11"/>
      <c r="D53" s="11"/>
      <c r="E53" s="12"/>
      <c r="F53" s="12"/>
      <c r="I53" s="12"/>
      <c r="J53" s="12"/>
    </row>
    <row r="54" spans="2:18" ht="16">
      <c r="C54" s="11" t="s">
        <v>353</v>
      </c>
      <c r="D54" s="11" t="s">
        <v>28</v>
      </c>
      <c r="E54" s="70">
        <v>151646.802263244</v>
      </c>
      <c r="F54" s="70">
        <v>32993.427802512</v>
      </c>
      <c r="G54" s="70">
        <v>18136.281630283684</v>
      </c>
      <c r="H54" s="71">
        <f t="shared" ref="H54:H59" si="14">SUM(E54:G54)</f>
        <v>202776.5116960397</v>
      </c>
      <c r="I54" s="70">
        <v>93746.818680000011</v>
      </c>
      <c r="J54" s="70">
        <v>29276.150460000001</v>
      </c>
      <c r="K54" s="70">
        <v>243699.142819584</v>
      </c>
      <c r="L54" s="71">
        <f t="shared" ref="L54:L59" si="15">SUM(I54:K54)</f>
        <v>366722.111959584</v>
      </c>
      <c r="M54" s="70">
        <v>70909.145970066005</v>
      </c>
      <c r="N54" s="70">
        <v>23679.743623461</v>
      </c>
      <c r="O54" s="70">
        <v>35854.019464321529</v>
      </c>
      <c r="P54" s="71">
        <f t="shared" ref="P54:P59" si="16">SUM(M54:O54)</f>
        <v>130442.90905784853</v>
      </c>
    </row>
    <row r="55" spans="2:18" ht="16">
      <c r="C55" s="11" t="s">
        <v>354</v>
      </c>
      <c r="D55" s="11" t="s">
        <v>28</v>
      </c>
      <c r="E55" s="70">
        <v>2885.6496019440001</v>
      </c>
      <c r="F55" s="70">
        <v>78449.465165364003</v>
      </c>
      <c r="G55" s="70">
        <v>498248.83399955952</v>
      </c>
      <c r="H55" s="71">
        <f t="shared" si="14"/>
        <v>579583.94876686751</v>
      </c>
      <c r="I55" s="70">
        <v>4724.3500000000004</v>
      </c>
      <c r="J55" s="70">
        <v>12643.852500000001</v>
      </c>
      <c r="K55" s="70">
        <v>89668.439498800013</v>
      </c>
      <c r="L55" s="71">
        <f t="shared" si="15"/>
        <v>107036.64199880001</v>
      </c>
      <c r="M55" s="70">
        <v>14059.232685000001</v>
      </c>
      <c r="N55" s="70">
        <v>50497.862669522787</v>
      </c>
      <c r="O55" s="70">
        <v>3518.2968341815204</v>
      </c>
      <c r="P55" s="71">
        <f t="shared" si="16"/>
        <v>68075.392188704311</v>
      </c>
    </row>
    <row r="56" spans="2:18" ht="16">
      <c r="C56" s="11" t="s">
        <v>355</v>
      </c>
      <c r="D56" s="11" t="s">
        <v>28</v>
      </c>
      <c r="E56" s="70">
        <v>19454.47711254</v>
      </c>
      <c r="F56" s="70">
        <v>41126.517565199996</v>
      </c>
      <c r="G56" s="70">
        <v>15606.241833285121</v>
      </c>
      <c r="H56" s="71">
        <f t="shared" si="14"/>
        <v>76187.236511025112</v>
      </c>
      <c r="I56" s="70">
        <v>115830.86735000001</v>
      </c>
      <c r="J56" s="70">
        <v>26361.07732</v>
      </c>
      <c r="K56" s="70">
        <v>9737.4547585</v>
      </c>
      <c r="L56" s="71">
        <f t="shared" si="15"/>
        <v>151929.39942850004</v>
      </c>
      <c r="M56" s="70">
        <v>18711.232991370453</v>
      </c>
      <c r="N56" s="70">
        <v>27711.240928545001</v>
      </c>
      <c r="O56" s="70">
        <v>16054.11102325413</v>
      </c>
      <c r="P56" s="71">
        <f t="shared" si="16"/>
        <v>62476.58494316959</v>
      </c>
    </row>
    <row r="57" spans="2:18" ht="16">
      <c r="C57" s="11" t="s">
        <v>356</v>
      </c>
      <c r="D57" s="11" t="s">
        <v>28</v>
      </c>
      <c r="E57" s="70">
        <v>196948.91033143201</v>
      </c>
      <c r="F57" s="70">
        <v>16880.3026464</v>
      </c>
      <c r="G57" s="70">
        <v>1858440.5923971094</v>
      </c>
      <c r="H57" s="71">
        <f t="shared" si="14"/>
        <v>2072269.8053749413</v>
      </c>
      <c r="I57" s="70">
        <v>64061.602169800004</v>
      </c>
      <c r="J57" s="70">
        <v>27801.154184300005</v>
      </c>
      <c r="K57" s="70">
        <v>370054.62669627595</v>
      </c>
      <c r="L57" s="71">
        <f t="shared" si="15"/>
        <v>461917.38305037597</v>
      </c>
      <c r="M57" s="70">
        <v>43202.048815365</v>
      </c>
      <c r="N57" s="70">
        <v>12317.698266584701</v>
      </c>
      <c r="O57" s="70">
        <v>4972.2725867732097</v>
      </c>
      <c r="P57" s="71">
        <f t="shared" si="16"/>
        <v>60492.019668722911</v>
      </c>
    </row>
    <row r="58" spans="2:18" ht="16">
      <c r="C58" s="11" t="s">
        <v>357</v>
      </c>
      <c r="D58" s="11" t="s">
        <v>28</v>
      </c>
      <c r="E58" s="70">
        <v>1032088.29654</v>
      </c>
      <c r="F58" s="70">
        <v>2362279.6734191999</v>
      </c>
      <c r="G58" s="70">
        <v>743444.27</v>
      </c>
      <c r="H58" s="71">
        <f t="shared" si="14"/>
        <v>4137812.2399591999</v>
      </c>
      <c r="I58" s="70">
        <v>3307835.45</v>
      </c>
      <c r="J58" s="70">
        <v>795885.79</v>
      </c>
      <c r="K58" s="114" t="s">
        <v>32</v>
      </c>
      <c r="L58" s="71" t="s">
        <v>33</v>
      </c>
      <c r="M58" s="70">
        <v>157433</v>
      </c>
      <c r="N58" s="70">
        <v>699745</v>
      </c>
      <c r="O58" s="70">
        <v>316143.80208919762</v>
      </c>
      <c r="P58" s="71">
        <f t="shared" si="16"/>
        <v>1173321.8020891976</v>
      </c>
    </row>
    <row r="59" spans="2:18" s="94" customFormat="1" ht="16">
      <c r="C59" s="16" t="s">
        <v>360</v>
      </c>
      <c r="D59" s="16" t="s">
        <v>28</v>
      </c>
      <c r="E59" s="106">
        <f>SUM(E54:E58)</f>
        <v>1403024.1358491601</v>
      </c>
      <c r="F59" s="106">
        <f>SUM(F54:F58)</f>
        <v>2531729.386598676</v>
      </c>
      <c r="G59" s="106">
        <f>SUM(G54:G58)</f>
        <v>3133876.2198602376</v>
      </c>
      <c r="H59" s="108">
        <f t="shared" si="14"/>
        <v>7068629.7423080737</v>
      </c>
      <c r="I59" s="106">
        <f>SUM(I54:I58)</f>
        <v>3586199.0881998003</v>
      </c>
      <c r="J59" s="106">
        <f>SUM(J54:J58)</f>
        <v>891968.02446430002</v>
      </c>
      <c r="K59" s="106">
        <f>SUM(K54:K58)</f>
        <v>713159.66377315996</v>
      </c>
      <c r="L59" s="108">
        <f t="shared" si="15"/>
        <v>5191326.7764372602</v>
      </c>
      <c r="M59" s="106">
        <f>SUM(M54:M58)</f>
        <v>304314.66046180145</v>
      </c>
      <c r="N59" s="106">
        <f>SUM(N54:N58)</f>
        <v>813951.54548811354</v>
      </c>
      <c r="O59" s="106">
        <f>SUM(O54:O58)</f>
        <v>376542.50199772802</v>
      </c>
      <c r="P59" s="108">
        <f t="shared" si="16"/>
        <v>1494808.707947643</v>
      </c>
    </row>
    <row r="60" spans="2:18" ht="16" customHeight="1" thickBot="1">
      <c r="B60" s="27"/>
      <c r="C60" s="28"/>
      <c r="D60" s="28"/>
      <c r="E60" s="27"/>
      <c r="F60" s="27"/>
      <c r="G60" s="27"/>
      <c r="H60" s="196">
        <f>H51*Business!C73</f>
        <v>6302655.4723080732</v>
      </c>
      <c r="I60" s="27"/>
      <c r="J60" s="27"/>
      <c r="K60" s="27"/>
      <c r="L60" s="196">
        <f>H60+G58</f>
        <v>7046099.7423080727</v>
      </c>
      <c r="M60" s="27"/>
      <c r="N60" s="27"/>
      <c r="O60" s="27"/>
      <c r="P60" s="29"/>
      <c r="Q60" s="22"/>
      <c r="R60" s="22"/>
    </row>
    <row r="61" spans="2:18">
      <c r="B61" s="10" t="s">
        <v>361</v>
      </c>
      <c r="C61" s="11"/>
      <c r="D61" s="11"/>
      <c r="E61" s="12"/>
      <c r="F61" s="12"/>
      <c r="I61" s="12"/>
      <c r="J61" s="12"/>
    </row>
    <row r="62" spans="2:18" ht="16">
      <c r="C62" s="11" t="s">
        <v>362</v>
      </c>
      <c r="D62" s="11" t="s">
        <v>29</v>
      </c>
      <c r="E62" s="12">
        <v>9</v>
      </c>
      <c r="F62" s="12">
        <v>3</v>
      </c>
      <c r="G62" s="12">
        <v>4</v>
      </c>
      <c r="H62" s="13">
        <f>SUM(E62:G62)</f>
        <v>16</v>
      </c>
      <c r="I62" s="12"/>
      <c r="J62" s="12"/>
      <c r="K62" s="12"/>
      <c r="L62" s="13"/>
      <c r="M62" s="12"/>
      <c r="N62" s="12"/>
      <c r="O62" s="12"/>
      <c r="P62" s="13"/>
    </row>
    <row r="63" spans="2:18" ht="16">
      <c r="B63" s="66"/>
      <c r="C63" s="2" t="s">
        <v>363</v>
      </c>
      <c r="D63" s="11" t="s">
        <v>29</v>
      </c>
      <c r="E63" s="109">
        <v>0</v>
      </c>
      <c r="F63" s="109">
        <v>0</v>
      </c>
      <c r="G63" s="109">
        <v>0</v>
      </c>
      <c r="H63" s="13">
        <f>SUM(E63:G63)</f>
        <v>0</v>
      </c>
      <c r="I63" s="109">
        <v>0</v>
      </c>
      <c r="J63" s="109">
        <v>0</v>
      </c>
      <c r="K63" s="109">
        <v>0</v>
      </c>
      <c r="L63" s="13"/>
      <c r="M63" s="12"/>
      <c r="N63" s="12"/>
      <c r="O63" s="12"/>
      <c r="P63" s="13"/>
    </row>
    <row r="64" spans="2:18" ht="16" customHeight="1" thickBot="1">
      <c r="B64" s="27"/>
      <c r="C64" s="28"/>
      <c r="D64" s="28"/>
      <c r="E64" s="27"/>
      <c r="F64" s="27"/>
      <c r="G64" s="27"/>
      <c r="H64" s="27"/>
      <c r="I64" s="27"/>
      <c r="J64" s="27"/>
      <c r="K64" s="27"/>
      <c r="L64" s="27"/>
      <c r="M64" s="27"/>
      <c r="N64" s="27"/>
      <c r="O64" s="27"/>
      <c r="P64" s="29"/>
      <c r="Q64" s="22"/>
      <c r="R64" s="22"/>
    </row>
    <row r="65" spans="2:8">
      <c r="H65" s="110"/>
    </row>
    <row r="66" spans="2:8">
      <c r="B66" s="66"/>
      <c r="C66" s="2"/>
      <c r="D66" s="111"/>
      <c r="E66" s="111"/>
      <c r="F66" s="111"/>
      <c r="G66" s="111"/>
    </row>
    <row r="67" spans="2:8" ht="19">
      <c r="B67" s="66"/>
      <c r="C67" s="112"/>
      <c r="D67" s="78"/>
      <c r="G67" s="78"/>
    </row>
    <row r="68" spans="2:8" ht="19">
      <c r="B68" s="66"/>
      <c r="C68" s="112"/>
      <c r="D68" s="78"/>
      <c r="G68" s="78"/>
    </row>
    <row r="69" spans="2:8">
      <c r="B69" s="66"/>
    </row>
    <row r="70" spans="2:8">
      <c r="B70" s="66"/>
    </row>
    <row r="71" spans="2:8">
      <c r="B71" s="66"/>
    </row>
    <row r="72" spans="2:8">
      <c r="B72" s="66"/>
    </row>
    <row r="73" spans="2:8">
      <c r="B73" s="66"/>
    </row>
    <row r="74" spans="2:8">
      <c r="B74" s="66"/>
    </row>
    <row r="75" spans="2:8">
      <c r="B75" s="66"/>
    </row>
    <row r="76" spans="2:8">
      <c r="B76" s="66"/>
    </row>
    <row r="77" spans="2:8">
      <c r="B77" s="66"/>
    </row>
    <row r="78" spans="2:8">
      <c r="B78" s="66"/>
    </row>
    <row r="79" spans="2:8">
      <c r="B79" s="66"/>
    </row>
    <row r="80" spans="2:8">
      <c r="B80" s="66"/>
    </row>
    <row r="81" spans="2:2">
      <c r="B81" s="66"/>
    </row>
    <row r="82" spans="2:2">
      <c r="B82" s="66"/>
    </row>
    <row r="83" spans="2:2">
      <c r="B83" s="66"/>
    </row>
    <row r="84" spans="2:2">
      <c r="B84" s="66"/>
    </row>
    <row r="85" spans="2:2">
      <c r="B85" s="66"/>
    </row>
    <row r="86" spans="2:2">
      <c r="B86" s="66"/>
    </row>
    <row r="87" spans="2:2">
      <c r="B87" s="66"/>
    </row>
    <row r="88" spans="2:2">
      <c r="B88" s="66"/>
    </row>
    <row r="89" spans="2:2">
      <c r="B89" s="66"/>
    </row>
    <row r="90" spans="2:2">
      <c r="B90" s="66"/>
    </row>
    <row r="91" spans="2:2">
      <c r="B91" s="66"/>
    </row>
    <row r="92" spans="2:2">
      <c r="B92" s="66"/>
    </row>
    <row r="93" spans="2:2">
      <c r="B93" s="66"/>
    </row>
    <row r="94" spans="2:2">
      <c r="B94" s="66"/>
    </row>
    <row r="95" spans="2:2">
      <c r="B95" s="66"/>
    </row>
    <row r="96" spans="2:2">
      <c r="B96" s="66"/>
    </row>
    <row r="97" spans="2:2">
      <c r="B97" s="66"/>
    </row>
    <row r="98" spans="2:2">
      <c r="B98" s="66"/>
    </row>
    <row r="99" spans="2:2">
      <c r="B99" s="66"/>
    </row>
    <row r="100" spans="2:2">
      <c r="B100" s="66"/>
    </row>
    <row r="101" spans="2:2">
      <c r="B101" s="66"/>
    </row>
    <row r="102" spans="2:2">
      <c r="B102" s="66"/>
    </row>
    <row r="103" spans="2:2">
      <c r="B103" s="66"/>
    </row>
    <row r="104" spans="2:2">
      <c r="B104" s="66"/>
    </row>
    <row r="105" spans="2:2">
      <c r="B105" s="66"/>
    </row>
    <row r="106" spans="2:2">
      <c r="B106" s="66"/>
    </row>
    <row r="107" spans="2:2">
      <c r="B107" s="66"/>
    </row>
    <row r="108" spans="2:2">
      <c r="B108" s="66"/>
    </row>
    <row r="109" spans="2:2">
      <c r="B109" s="66"/>
    </row>
    <row r="110" spans="2:2">
      <c r="B110" s="66"/>
    </row>
    <row r="111" spans="2:2">
      <c r="B111" s="66"/>
    </row>
    <row r="112" spans="2:2">
      <c r="B112" s="66"/>
    </row>
    <row r="113" spans="2:2">
      <c r="B113" s="66"/>
    </row>
    <row r="114" spans="2:2">
      <c r="B114" s="66"/>
    </row>
    <row r="115" spans="2:2">
      <c r="B115" s="66"/>
    </row>
    <row r="116" spans="2:2">
      <c r="B116" s="66"/>
    </row>
    <row r="117" spans="2:2">
      <c r="B117" s="66"/>
    </row>
    <row r="118" spans="2:2">
      <c r="B118" s="66"/>
    </row>
    <row r="119" spans="2:2">
      <c r="B119" s="66"/>
    </row>
    <row r="120" spans="2:2">
      <c r="B120" s="66"/>
    </row>
    <row r="121" spans="2:2">
      <c r="B121" s="66"/>
    </row>
    <row r="122" spans="2:2">
      <c r="B122" s="66"/>
    </row>
    <row r="123" spans="2:2">
      <c r="B123" s="66"/>
    </row>
    <row r="124" spans="2:2">
      <c r="B124" s="66"/>
    </row>
    <row r="125" spans="2:2">
      <c r="B125" s="66"/>
    </row>
    <row r="126" spans="2:2">
      <c r="B126" s="66"/>
    </row>
    <row r="127" spans="2:2">
      <c r="B127" s="66"/>
    </row>
    <row r="128" spans="2:2">
      <c r="B128" s="66"/>
    </row>
    <row r="129" spans="2:2">
      <c r="B129" s="66"/>
    </row>
    <row r="130" spans="2:2">
      <c r="B130" s="66"/>
    </row>
    <row r="131" spans="2:2">
      <c r="B131" s="66"/>
    </row>
    <row r="132" spans="2:2">
      <c r="B132" s="66"/>
    </row>
    <row r="133" spans="2:2">
      <c r="B133" s="66"/>
    </row>
    <row r="134" spans="2:2">
      <c r="B134" s="66"/>
    </row>
    <row r="135" spans="2:2">
      <c r="B135" s="66"/>
    </row>
    <row r="136" spans="2:2">
      <c r="B136" s="66"/>
    </row>
    <row r="137" spans="2:2">
      <c r="B137" s="66"/>
    </row>
    <row r="138" spans="2:2">
      <c r="B138" s="66"/>
    </row>
    <row r="139" spans="2:2">
      <c r="B139" s="66"/>
    </row>
    <row r="140" spans="2:2">
      <c r="B140" s="66"/>
    </row>
    <row r="141" spans="2:2">
      <c r="B141" s="66"/>
    </row>
    <row r="142" spans="2:2">
      <c r="B142" s="66"/>
    </row>
    <row r="143" spans="2:2">
      <c r="B143" s="66"/>
    </row>
    <row r="144" spans="2:2">
      <c r="B144" s="66"/>
    </row>
    <row r="145" spans="2:2">
      <c r="B145" s="66"/>
    </row>
    <row r="146" spans="2:2">
      <c r="B146" s="66"/>
    </row>
    <row r="147" spans="2:2">
      <c r="B147" s="66"/>
    </row>
    <row r="148" spans="2:2">
      <c r="B148" s="66"/>
    </row>
    <row r="149" spans="2:2">
      <c r="B149" s="66"/>
    </row>
    <row r="150" spans="2:2">
      <c r="B150" s="66"/>
    </row>
    <row r="151" spans="2:2">
      <c r="B151" s="66"/>
    </row>
    <row r="152" spans="2:2">
      <c r="B152" s="66"/>
    </row>
    <row r="153" spans="2:2">
      <c r="B153" s="66"/>
    </row>
    <row r="154" spans="2:2">
      <c r="B154" s="66"/>
    </row>
    <row r="155" spans="2:2">
      <c r="B155" s="66"/>
    </row>
    <row r="156" spans="2:2">
      <c r="B156" s="66"/>
    </row>
    <row r="157" spans="2:2">
      <c r="B157" s="66"/>
    </row>
    <row r="158" spans="2:2">
      <c r="B158" s="66"/>
    </row>
    <row r="159" spans="2:2">
      <c r="B159" s="66"/>
    </row>
    <row r="160" spans="2:2">
      <c r="B160" s="66"/>
    </row>
    <row r="161" spans="2:2">
      <c r="B161" s="66"/>
    </row>
    <row r="162" spans="2:2">
      <c r="B162" s="66"/>
    </row>
    <row r="163" spans="2:2">
      <c r="B163" s="66"/>
    </row>
    <row r="164" spans="2:2">
      <c r="B164" s="66"/>
    </row>
    <row r="165" spans="2:2">
      <c r="B165" s="66"/>
    </row>
    <row r="166" spans="2:2">
      <c r="B166" s="66"/>
    </row>
    <row r="167" spans="2:2">
      <c r="B167" s="66"/>
    </row>
    <row r="168" spans="2:2">
      <c r="B168" s="66"/>
    </row>
    <row r="169" spans="2:2">
      <c r="B169" s="66"/>
    </row>
    <row r="170" spans="2:2">
      <c r="B170" s="66"/>
    </row>
    <row r="171" spans="2:2">
      <c r="B171" s="66"/>
    </row>
    <row r="172" spans="2:2">
      <c r="B172" s="66"/>
    </row>
    <row r="173" spans="2:2">
      <c r="B173" s="66"/>
    </row>
    <row r="174" spans="2:2">
      <c r="B174" s="66"/>
    </row>
    <row r="175" spans="2:2">
      <c r="B175" s="66"/>
    </row>
    <row r="176" spans="2:2">
      <c r="B176" s="66"/>
    </row>
    <row r="177" spans="2:2">
      <c r="B177" s="66"/>
    </row>
    <row r="178" spans="2:2">
      <c r="B178" s="66"/>
    </row>
    <row r="179" spans="2:2">
      <c r="B179" s="66"/>
    </row>
    <row r="180" spans="2:2">
      <c r="B180" s="66"/>
    </row>
    <row r="181" spans="2:2">
      <c r="B181" s="66"/>
    </row>
    <row r="182" spans="2:2">
      <c r="B182" s="66"/>
    </row>
    <row r="183" spans="2:2">
      <c r="B183" s="66"/>
    </row>
    <row r="184" spans="2:2">
      <c r="B184" s="66"/>
    </row>
    <row r="185" spans="2:2">
      <c r="B185" s="66"/>
    </row>
    <row r="186" spans="2:2">
      <c r="B186" s="66"/>
    </row>
    <row r="187" spans="2:2">
      <c r="B187" s="66"/>
    </row>
    <row r="188" spans="2:2">
      <c r="B188" s="66"/>
    </row>
    <row r="189" spans="2:2">
      <c r="B189" s="66"/>
    </row>
    <row r="190" spans="2:2">
      <c r="B190" s="66"/>
    </row>
    <row r="191" spans="2:2">
      <c r="B191" s="66"/>
    </row>
    <row r="192" spans="2:2">
      <c r="B192" s="66"/>
    </row>
    <row r="193" spans="2:2">
      <c r="B193" s="66"/>
    </row>
    <row r="194" spans="2:2">
      <c r="B194" s="66"/>
    </row>
    <row r="195" spans="2:2">
      <c r="B195" s="66"/>
    </row>
    <row r="196" spans="2:2">
      <c r="B196" s="66"/>
    </row>
    <row r="197" spans="2:2">
      <c r="B197" s="66"/>
    </row>
    <row r="198" spans="2:2">
      <c r="B198" s="66"/>
    </row>
    <row r="199" spans="2:2">
      <c r="B199" s="66"/>
    </row>
    <row r="200" spans="2:2">
      <c r="B200" s="66"/>
    </row>
    <row r="201" spans="2:2">
      <c r="B201" s="66"/>
    </row>
    <row r="202" spans="2:2">
      <c r="B202" s="66"/>
    </row>
    <row r="203" spans="2:2">
      <c r="B203" s="66"/>
    </row>
    <row r="204" spans="2:2">
      <c r="B204" s="66"/>
    </row>
    <row r="205" spans="2:2">
      <c r="B205" s="66"/>
    </row>
    <row r="206" spans="2:2">
      <c r="B206" s="66"/>
    </row>
    <row r="207" spans="2:2">
      <c r="B207" s="66"/>
    </row>
    <row r="208" spans="2:2">
      <c r="B208" s="66"/>
    </row>
    <row r="209" spans="2:2">
      <c r="B209" s="66"/>
    </row>
    <row r="210" spans="2:2">
      <c r="B210" s="66"/>
    </row>
    <row r="211" spans="2:2">
      <c r="B211" s="66"/>
    </row>
    <row r="212" spans="2:2">
      <c r="B212" s="66"/>
    </row>
    <row r="213" spans="2:2">
      <c r="B213" s="66"/>
    </row>
    <row r="214" spans="2:2">
      <c r="B214" s="66"/>
    </row>
    <row r="215" spans="2:2">
      <c r="B215" s="66"/>
    </row>
    <row r="216" spans="2:2">
      <c r="B216" s="66"/>
    </row>
    <row r="217" spans="2:2">
      <c r="B217" s="66"/>
    </row>
    <row r="218" spans="2:2">
      <c r="B218" s="66"/>
    </row>
    <row r="219" spans="2:2">
      <c r="B219" s="66"/>
    </row>
    <row r="220" spans="2:2">
      <c r="B220" s="66"/>
    </row>
    <row r="221" spans="2:2">
      <c r="B221" s="66"/>
    </row>
    <row r="222" spans="2:2">
      <c r="B222" s="66"/>
    </row>
    <row r="223" spans="2:2">
      <c r="B223" s="66"/>
    </row>
    <row r="224" spans="2:2">
      <c r="B224" s="66"/>
    </row>
    <row r="225" spans="2:2">
      <c r="B225" s="66"/>
    </row>
    <row r="226" spans="2:2">
      <c r="B226" s="66"/>
    </row>
    <row r="227" spans="2:2">
      <c r="B227" s="66"/>
    </row>
    <row r="228" spans="2:2">
      <c r="B228" s="66"/>
    </row>
    <row r="229" spans="2:2">
      <c r="B229" s="66"/>
    </row>
    <row r="230" spans="2:2">
      <c r="B230" s="66"/>
    </row>
    <row r="231" spans="2:2">
      <c r="B231" s="66"/>
    </row>
    <row r="232" spans="2:2">
      <c r="B232" s="66"/>
    </row>
    <row r="233" spans="2:2">
      <c r="B233" s="66"/>
    </row>
    <row r="234" spans="2:2">
      <c r="B234" s="66"/>
    </row>
    <row r="235" spans="2:2">
      <c r="B235" s="66"/>
    </row>
    <row r="236" spans="2:2">
      <c r="B236" s="66"/>
    </row>
    <row r="237" spans="2:2">
      <c r="B237" s="66"/>
    </row>
    <row r="238" spans="2:2">
      <c r="B238" s="66"/>
    </row>
    <row r="239" spans="2:2">
      <c r="B239" s="66"/>
    </row>
    <row r="240" spans="2:2">
      <c r="B240" s="66"/>
    </row>
    <row r="241" spans="2:2">
      <c r="B241" s="66"/>
    </row>
    <row r="242" spans="2:2">
      <c r="B242" s="66"/>
    </row>
    <row r="243" spans="2:2">
      <c r="B243" s="66"/>
    </row>
    <row r="244" spans="2:2">
      <c r="B244" s="66"/>
    </row>
    <row r="245" spans="2:2">
      <c r="B245" s="66"/>
    </row>
    <row r="246" spans="2:2">
      <c r="B246" s="66"/>
    </row>
    <row r="247" spans="2:2">
      <c r="B247" s="66"/>
    </row>
    <row r="248" spans="2:2">
      <c r="B248" s="66"/>
    </row>
    <row r="249" spans="2:2">
      <c r="B249" s="66"/>
    </row>
    <row r="250" spans="2:2">
      <c r="B250" s="66"/>
    </row>
    <row r="251" spans="2:2">
      <c r="B251" s="66"/>
    </row>
    <row r="252" spans="2:2">
      <c r="B252" s="66"/>
    </row>
    <row r="253" spans="2:2">
      <c r="B253" s="66"/>
    </row>
    <row r="254" spans="2:2">
      <c r="B254" s="66"/>
    </row>
    <row r="255" spans="2:2">
      <c r="B255" s="66"/>
    </row>
    <row r="256" spans="2:2">
      <c r="B256" s="66"/>
    </row>
    <row r="257" spans="2:2">
      <c r="B257" s="66"/>
    </row>
    <row r="258" spans="2:2">
      <c r="B258" s="66"/>
    </row>
    <row r="259" spans="2:2">
      <c r="B259" s="66"/>
    </row>
    <row r="260" spans="2:2">
      <c r="B260" s="66"/>
    </row>
    <row r="261" spans="2:2">
      <c r="B261" s="66"/>
    </row>
    <row r="262" spans="2:2">
      <c r="B262" s="66"/>
    </row>
    <row r="263" spans="2:2">
      <c r="B263" s="66"/>
    </row>
    <row r="264" spans="2:2">
      <c r="B264" s="66"/>
    </row>
    <row r="265" spans="2:2">
      <c r="B265" s="66"/>
    </row>
    <row r="266" spans="2:2">
      <c r="B266" s="66"/>
    </row>
    <row r="267" spans="2:2">
      <c r="B267" s="66"/>
    </row>
    <row r="268" spans="2:2">
      <c r="B268" s="66"/>
    </row>
    <row r="269" spans="2:2">
      <c r="B269" s="66"/>
    </row>
    <row r="270" spans="2:2">
      <c r="B270" s="66"/>
    </row>
    <row r="271" spans="2:2">
      <c r="B271" s="66"/>
    </row>
    <row r="272" spans="2:2">
      <c r="B272" s="66"/>
    </row>
    <row r="273" spans="2:2">
      <c r="B273" s="66"/>
    </row>
    <row r="274" spans="2:2">
      <c r="B274" s="66"/>
    </row>
    <row r="275" spans="2:2">
      <c r="B275" s="66"/>
    </row>
    <row r="276" spans="2:2">
      <c r="B276" s="66"/>
    </row>
    <row r="277" spans="2:2">
      <c r="B277" s="66"/>
    </row>
    <row r="278" spans="2:2">
      <c r="B278" s="66"/>
    </row>
    <row r="279" spans="2:2">
      <c r="B279" s="66"/>
    </row>
    <row r="280" spans="2:2">
      <c r="B280" s="66"/>
    </row>
    <row r="281" spans="2:2">
      <c r="B281" s="66"/>
    </row>
    <row r="282" spans="2:2">
      <c r="B282" s="66"/>
    </row>
    <row r="283" spans="2:2">
      <c r="B283" s="66"/>
    </row>
    <row r="284" spans="2:2">
      <c r="B284" s="66"/>
    </row>
    <row r="285" spans="2:2">
      <c r="B285" s="66"/>
    </row>
    <row r="286" spans="2:2">
      <c r="B286" s="66"/>
    </row>
    <row r="287" spans="2:2">
      <c r="B287" s="66"/>
    </row>
    <row r="288" spans="2:2">
      <c r="B288" s="66"/>
    </row>
    <row r="289" spans="2:2">
      <c r="B289" s="66"/>
    </row>
    <row r="290" spans="2:2">
      <c r="B290" s="66"/>
    </row>
    <row r="291" spans="2:2">
      <c r="B291" s="66"/>
    </row>
    <row r="292" spans="2:2">
      <c r="B292" s="66"/>
    </row>
    <row r="293" spans="2:2">
      <c r="B293" s="66"/>
    </row>
    <row r="294" spans="2:2">
      <c r="B294" s="66"/>
    </row>
    <row r="295" spans="2:2">
      <c r="B295" s="66"/>
    </row>
    <row r="296" spans="2:2">
      <c r="B296" s="66"/>
    </row>
    <row r="297" spans="2:2">
      <c r="B297" s="66"/>
    </row>
    <row r="298" spans="2:2">
      <c r="B298" s="66"/>
    </row>
    <row r="299" spans="2:2">
      <c r="B299" s="66"/>
    </row>
    <row r="300" spans="2:2">
      <c r="B300" s="66"/>
    </row>
    <row r="301" spans="2:2">
      <c r="B301" s="66"/>
    </row>
    <row r="302" spans="2:2">
      <c r="B302" s="66"/>
    </row>
    <row r="303" spans="2:2">
      <c r="B303" s="66"/>
    </row>
    <row r="304" spans="2:2">
      <c r="B304" s="66"/>
    </row>
    <row r="305" spans="2:2">
      <c r="B305" s="66"/>
    </row>
    <row r="306" spans="2:2">
      <c r="B306" s="66"/>
    </row>
    <row r="307" spans="2:2">
      <c r="B307" s="66"/>
    </row>
    <row r="308" spans="2:2">
      <c r="B308" s="66"/>
    </row>
    <row r="309" spans="2:2">
      <c r="B309" s="66"/>
    </row>
    <row r="310" spans="2:2">
      <c r="B310" s="66"/>
    </row>
    <row r="311" spans="2:2">
      <c r="B311" s="66"/>
    </row>
    <row r="312" spans="2:2">
      <c r="B312" s="66"/>
    </row>
    <row r="313" spans="2:2">
      <c r="B313" s="66"/>
    </row>
    <row r="314" spans="2:2">
      <c r="B314" s="66"/>
    </row>
    <row r="315" spans="2:2">
      <c r="B315" s="66"/>
    </row>
    <row r="316" spans="2:2">
      <c r="B316" s="66"/>
    </row>
    <row r="317" spans="2:2">
      <c r="B317" s="66"/>
    </row>
    <row r="318" spans="2:2">
      <c r="B318" s="66"/>
    </row>
    <row r="319" spans="2:2">
      <c r="B319" s="66"/>
    </row>
    <row r="320" spans="2:2">
      <c r="B320" s="66"/>
    </row>
    <row r="321" spans="2:2">
      <c r="B321" s="66"/>
    </row>
    <row r="322" spans="2:2">
      <c r="B322" s="66"/>
    </row>
    <row r="323" spans="2:2">
      <c r="B323" s="66"/>
    </row>
    <row r="324" spans="2:2">
      <c r="B324" s="66"/>
    </row>
    <row r="325" spans="2:2">
      <c r="B325" s="66"/>
    </row>
    <row r="326" spans="2:2">
      <c r="B326" s="66"/>
    </row>
    <row r="327" spans="2:2">
      <c r="B327" s="66"/>
    </row>
    <row r="328" spans="2:2">
      <c r="B328" s="66"/>
    </row>
    <row r="329" spans="2:2">
      <c r="B329" s="66"/>
    </row>
    <row r="330" spans="2:2">
      <c r="B330" s="66"/>
    </row>
    <row r="331" spans="2:2">
      <c r="B331" s="66"/>
    </row>
    <row r="332" spans="2:2">
      <c r="B332" s="66"/>
    </row>
    <row r="333" spans="2:2">
      <c r="B333" s="66"/>
    </row>
    <row r="334" spans="2:2">
      <c r="B334" s="66"/>
    </row>
    <row r="335" spans="2:2">
      <c r="B335" s="66"/>
    </row>
    <row r="336" spans="2:2">
      <c r="B336" s="66"/>
    </row>
    <row r="337" spans="2:2">
      <c r="B337" s="66"/>
    </row>
    <row r="338" spans="2:2">
      <c r="B338" s="66"/>
    </row>
    <row r="339" spans="2:2">
      <c r="B339" s="66"/>
    </row>
    <row r="340" spans="2:2">
      <c r="B340" s="66"/>
    </row>
    <row r="341" spans="2:2">
      <c r="B341" s="66"/>
    </row>
    <row r="342" spans="2:2">
      <c r="B342" s="66"/>
    </row>
    <row r="343" spans="2:2">
      <c r="B343" s="66"/>
    </row>
    <row r="344" spans="2:2">
      <c r="B344" s="66"/>
    </row>
    <row r="345" spans="2:2">
      <c r="B345" s="66"/>
    </row>
    <row r="346" spans="2:2">
      <c r="B346" s="66"/>
    </row>
    <row r="347" spans="2:2">
      <c r="B347" s="66"/>
    </row>
    <row r="348" spans="2:2">
      <c r="B348" s="66"/>
    </row>
    <row r="349" spans="2:2">
      <c r="B349" s="66"/>
    </row>
    <row r="350" spans="2:2">
      <c r="B350" s="66"/>
    </row>
    <row r="351" spans="2:2">
      <c r="B351" s="66"/>
    </row>
    <row r="352" spans="2:2">
      <c r="B352" s="66"/>
    </row>
    <row r="353" spans="2:2">
      <c r="B353" s="66"/>
    </row>
    <row r="354" spans="2:2">
      <c r="B354" s="66"/>
    </row>
    <row r="355" spans="2:2">
      <c r="B355" s="66"/>
    </row>
    <row r="356" spans="2:2">
      <c r="B356" s="66"/>
    </row>
    <row r="357" spans="2:2">
      <c r="B357" s="66"/>
    </row>
    <row r="358" spans="2:2">
      <c r="B358" s="66"/>
    </row>
    <row r="359" spans="2:2">
      <c r="B359" s="66"/>
    </row>
    <row r="360" spans="2:2">
      <c r="B360" s="66"/>
    </row>
    <row r="361" spans="2:2">
      <c r="B361" s="66"/>
    </row>
    <row r="362" spans="2:2">
      <c r="B362" s="66"/>
    </row>
    <row r="363" spans="2:2">
      <c r="B363" s="66"/>
    </row>
    <row r="364" spans="2:2">
      <c r="B364" s="66"/>
    </row>
    <row r="365" spans="2:2">
      <c r="B365" s="66"/>
    </row>
    <row r="366" spans="2:2">
      <c r="B366" s="66"/>
    </row>
    <row r="367" spans="2:2">
      <c r="B367" s="66"/>
    </row>
    <row r="368" spans="2:2">
      <c r="B368" s="66"/>
    </row>
    <row r="369" spans="2:2">
      <c r="B369" s="66"/>
    </row>
    <row r="370" spans="2:2">
      <c r="B370" s="66"/>
    </row>
    <row r="371" spans="2:2">
      <c r="B371" s="66"/>
    </row>
    <row r="372" spans="2:2">
      <c r="B372" s="66"/>
    </row>
    <row r="373" spans="2:2">
      <c r="B373" s="66"/>
    </row>
    <row r="374" spans="2:2">
      <c r="B374" s="66"/>
    </row>
    <row r="375" spans="2:2">
      <c r="B375" s="66"/>
    </row>
    <row r="376" spans="2:2">
      <c r="B376" s="66"/>
    </row>
    <row r="377" spans="2:2">
      <c r="B377" s="66"/>
    </row>
    <row r="378" spans="2:2">
      <c r="B378" s="66"/>
    </row>
    <row r="379" spans="2:2">
      <c r="B379" s="66"/>
    </row>
    <row r="380" spans="2:2">
      <c r="B380" s="66"/>
    </row>
    <row r="381" spans="2:2">
      <c r="B381" s="66"/>
    </row>
    <row r="382" spans="2:2">
      <c r="B382" s="66"/>
    </row>
    <row r="383" spans="2:2">
      <c r="B383" s="66"/>
    </row>
    <row r="384" spans="2:2">
      <c r="B384" s="66"/>
    </row>
    <row r="385" spans="2:2">
      <c r="B385" s="66"/>
    </row>
    <row r="386" spans="2:2">
      <c r="B386" s="66"/>
    </row>
    <row r="387" spans="2:2">
      <c r="B387" s="66"/>
    </row>
    <row r="388" spans="2:2">
      <c r="B388" s="66"/>
    </row>
    <row r="389" spans="2:2">
      <c r="B389" s="66"/>
    </row>
    <row r="390" spans="2:2">
      <c r="B390" s="66"/>
    </row>
    <row r="391" spans="2:2">
      <c r="B391" s="66"/>
    </row>
    <row r="392" spans="2:2">
      <c r="B392" s="66"/>
    </row>
    <row r="393" spans="2:2">
      <c r="B393" s="66"/>
    </row>
    <row r="394" spans="2:2">
      <c r="B394" s="66"/>
    </row>
    <row r="395" spans="2:2">
      <c r="B395" s="66"/>
    </row>
    <row r="396" spans="2:2">
      <c r="B396" s="66"/>
    </row>
    <row r="397" spans="2:2">
      <c r="B397" s="66"/>
    </row>
    <row r="398" spans="2:2">
      <c r="B398" s="66"/>
    </row>
    <row r="399" spans="2:2">
      <c r="B399" s="66"/>
    </row>
    <row r="400" spans="2:2">
      <c r="B400" s="66"/>
    </row>
    <row r="401" spans="2:2">
      <c r="B401" s="66"/>
    </row>
    <row r="402" spans="2:2">
      <c r="B402" s="66"/>
    </row>
    <row r="403" spans="2:2">
      <c r="B403" s="66"/>
    </row>
    <row r="404" spans="2:2">
      <c r="B404" s="66"/>
    </row>
    <row r="405" spans="2:2">
      <c r="B405" s="66"/>
    </row>
    <row r="406" spans="2:2">
      <c r="B406" s="66"/>
    </row>
    <row r="407" spans="2:2">
      <c r="B407" s="66"/>
    </row>
    <row r="408" spans="2:2">
      <c r="B408" s="66"/>
    </row>
    <row r="409" spans="2:2">
      <c r="B409" s="66"/>
    </row>
    <row r="410" spans="2:2">
      <c r="B410" s="66"/>
    </row>
    <row r="411" spans="2:2">
      <c r="B411" s="66"/>
    </row>
    <row r="412" spans="2:2">
      <c r="B412" s="66"/>
    </row>
    <row r="413" spans="2:2">
      <c r="B413" s="66"/>
    </row>
    <row r="414" spans="2:2">
      <c r="B414" s="66"/>
    </row>
    <row r="415" spans="2:2">
      <c r="B415" s="66"/>
    </row>
    <row r="416" spans="2:2">
      <c r="B416" s="66"/>
    </row>
    <row r="417" spans="2:2">
      <c r="B417" s="66"/>
    </row>
    <row r="418" spans="2:2">
      <c r="B418" s="66"/>
    </row>
    <row r="419" spans="2:2">
      <c r="B419" s="66"/>
    </row>
    <row r="420" spans="2:2">
      <c r="B420" s="66"/>
    </row>
    <row r="421" spans="2:2">
      <c r="B421" s="66"/>
    </row>
    <row r="422" spans="2:2">
      <c r="B422" s="66"/>
    </row>
    <row r="423" spans="2:2">
      <c r="B423" s="66"/>
    </row>
    <row r="424" spans="2:2">
      <c r="B424" s="66"/>
    </row>
    <row r="425" spans="2:2">
      <c r="B425" s="66"/>
    </row>
    <row r="426" spans="2:2">
      <c r="B426" s="66"/>
    </row>
    <row r="427" spans="2:2">
      <c r="B427" s="66"/>
    </row>
    <row r="428" spans="2:2">
      <c r="B428" s="66"/>
    </row>
    <row r="429" spans="2:2">
      <c r="B429" s="66"/>
    </row>
    <row r="430" spans="2:2">
      <c r="B430" s="66"/>
    </row>
    <row r="431" spans="2:2">
      <c r="B431" s="66"/>
    </row>
    <row r="432" spans="2:2">
      <c r="B432" s="66"/>
    </row>
    <row r="433" spans="2:2">
      <c r="B433" s="66"/>
    </row>
    <row r="434" spans="2:2">
      <c r="B434" s="66"/>
    </row>
    <row r="435" spans="2:2">
      <c r="B435" s="66"/>
    </row>
    <row r="436" spans="2:2">
      <c r="B436" s="66"/>
    </row>
    <row r="437" spans="2:2">
      <c r="B437" s="66"/>
    </row>
    <row r="438" spans="2:2">
      <c r="B438" s="66"/>
    </row>
    <row r="439" spans="2:2">
      <c r="B439" s="66"/>
    </row>
    <row r="440" spans="2:2">
      <c r="B440" s="66"/>
    </row>
    <row r="441" spans="2:2">
      <c r="B441" s="66"/>
    </row>
    <row r="442" spans="2:2">
      <c r="B442" s="66"/>
    </row>
    <row r="443" spans="2:2">
      <c r="B443" s="66"/>
    </row>
    <row r="444" spans="2:2">
      <c r="B444" s="66"/>
    </row>
    <row r="445" spans="2:2">
      <c r="B445" s="66"/>
    </row>
    <row r="446" spans="2:2">
      <c r="B446" s="66"/>
    </row>
    <row r="447" spans="2:2">
      <c r="B447" s="66"/>
    </row>
    <row r="448" spans="2:2">
      <c r="B448" s="66"/>
    </row>
    <row r="449" spans="2:2">
      <c r="B449" s="66"/>
    </row>
    <row r="450" spans="2:2">
      <c r="B450" s="66"/>
    </row>
    <row r="451" spans="2:2">
      <c r="B451" s="66"/>
    </row>
    <row r="452" spans="2:2">
      <c r="B452" s="66"/>
    </row>
    <row r="453" spans="2:2">
      <c r="B453" s="66"/>
    </row>
    <row r="454" spans="2:2">
      <c r="B454" s="66"/>
    </row>
    <row r="455" spans="2:2">
      <c r="B455" s="66"/>
    </row>
    <row r="456" spans="2:2">
      <c r="B456" s="66"/>
    </row>
    <row r="457" spans="2:2">
      <c r="B457" s="66"/>
    </row>
    <row r="458" spans="2:2">
      <c r="B458" s="66"/>
    </row>
    <row r="459" spans="2:2">
      <c r="B459" s="66"/>
    </row>
    <row r="460" spans="2:2">
      <c r="B460" s="66"/>
    </row>
    <row r="461" spans="2:2">
      <c r="B461" s="66"/>
    </row>
    <row r="462" spans="2:2">
      <c r="B462" s="66"/>
    </row>
    <row r="463" spans="2:2">
      <c r="B463" s="66"/>
    </row>
    <row r="464" spans="2:2">
      <c r="B464" s="66"/>
    </row>
    <row r="465" spans="2:2">
      <c r="B465" s="66"/>
    </row>
    <row r="466" spans="2:2">
      <c r="B466" s="66"/>
    </row>
    <row r="467" spans="2:2">
      <c r="B467" s="66"/>
    </row>
    <row r="468" spans="2:2">
      <c r="B468" s="66"/>
    </row>
    <row r="469" spans="2:2">
      <c r="B469" s="66"/>
    </row>
    <row r="470" spans="2:2">
      <c r="B470" s="66"/>
    </row>
    <row r="471" spans="2:2">
      <c r="B471" s="66"/>
    </row>
    <row r="472" spans="2:2">
      <c r="B472" s="66"/>
    </row>
    <row r="473" spans="2:2">
      <c r="B473" s="66"/>
    </row>
    <row r="474" spans="2:2">
      <c r="B474" s="66"/>
    </row>
    <row r="475" spans="2:2">
      <c r="B475" s="66"/>
    </row>
    <row r="476" spans="2:2">
      <c r="B476" s="66"/>
    </row>
    <row r="477" spans="2:2">
      <c r="B477" s="66"/>
    </row>
    <row r="478" spans="2:2">
      <c r="B478" s="66"/>
    </row>
    <row r="479" spans="2:2">
      <c r="B479" s="66"/>
    </row>
    <row r="480" spans="2:2">
      <c r="B480" s="66"/>
    </row>
    <row r="481" spans="2:2">
      <c r="B481" s="66"/>
    </row>
    <row r="482" spans="2:2">
      <c r="B482" s="66"/>
    </row>
    <row r="483" spans="2:2">
      <c r="B483" s="66"/>
    </row>
    <row r="484" spans="2:2">
      <c r="B484" s="66"/>
    </row>
    <row r="485" spans="2:2">
      <c r="B485" s="66"/>
    </row>
    <row r="486" spans="2:2">
      <c r="B486" s="66"/>
    </row>
    <row r="487" spans="2:2">
      <c r="B487" s="66"/>
    </row>
    <row r="488" spans="2:2">
      <c r="B488" s="66"/>
    </row>
    <row r="489" spans="2:2">
      <c r="B489" s="66"/>
    </row>
    <row r="490" spans="2:2">
      <c r="B490" s="66"/>
    </row>
    <row r="491" spans="2:2">
      <c r="B491" s="66"/>
    </row>
    <row r="492" spans="2:2">
      <c r="B492" s="66"/>
    </row>
    <row r="493" spans="2:2">
      <c r="B493" s="66"/>
    </row>
    <row r="494" spans="2:2">
      <c r="B494" s="66"/>
    </row>
    <row r="495" spans="2:2">
      <c r="B495" s="66"/>
    </row>
    <row r="496" spans="2:2">
      <c r="B496" s="66"/>
    </row>
    <row r="497" spans="2:2">
      <c r="B497" s="66"/>
    </row>
    <row r="498" spans="2:2">
      <c r="B498" s="66"/>
    </row>
    <row r="499" spans="2:2">
      <c r="B499" s="66"/>
    </row>
    <row r="500" spans="2:2">
      <c r="B500" s="66"/>
    </row>
    <row r="501" spans="2:2">
      <c r="B501" s="66"/>
    </row>
    <row r="502" spans="2:2">
      <c r="B502" s="66"/>
    </row>
    <row r="503" spans="2:2">
      <c r="B503" s="66"/>
    </row>
    <row r="504" spans="2:2">
      <c r="B504" s="66"/>
    </row>
    <row r="505" spans="2:2">
      <c r="B505" s="66"/>
    </row>
    <row r="506" spans="2:2">
      <c r="B506" s="66"/>
    </row>
    <row r="507" spans="2:2">
      <c r="B507" s="66"/>
    </row>
    <row r="508" spans="2:2">
      <c r="B508" s="66"/>
    </row>
    <row r="509" spans="2:2">
      <c r="B509" s="66"/>
    </row>
    <row r="510" spans="2:2">
      <c r="B510" s="66"/>
    </row>
    <row r="511" spans="2:2">
      <c r="B511" s="66"/>
    </row>
    <row r="512" spans="2:2">
      <c r="B512" s="66"/>
    </row>
    <row r="513" spans="2:2">
      <c r="B513" s="66"/>
    </row>
    <row r="514" spans="2:2">
      <c r="B514" s="66"/>
    </row>
    <row r="515" spans="2:2">
      <c r="B515" s="66"/>
    </row>
    <row r="516" spans="2:2">
      <c r="B516" s="66"/>
    </row>
    <row r="517" spans="2:2">
      <c r="B517" s="66"/>
    </row>
    <row r="518" spans="2:2">
      <c r="B518" s="66"/>
    </row>
    <row r="519" spans="2:2">
      <c r="B519" s="66"/>
    </row>
    <row r="520" spans="2:2">
      <c r="B520" s="66"/>
    </row>
    <row r="521" spans="2:2">
      <c r="B521" s="66"/>
    </row>
    <row r="522" spans="2:2">
      <c r="B522" s="66"/>
    </row>
    <row r="523" spans="2:2">
      <c r="B523" s="66"/>
    </row>
    <row r="524" spans="2:2">
      <c r="B524" s="66"/>
    </row>
    <row r="525" spans="2:2">
      <c r="B525" s="66"/>
    </row>
    <row r="526" spans="2:2">
      <c r="B526" s="66"/>
    </row>
    <row r="527" spans="2:2">
      <c r="B527" s="66"/>
    </row>
    <row r="528" spans="2:2">
      <c r="B528" s="66"/>
    </row>
    <row r="529" spans="2:2">
      <c r="B529" s="66"/>
    </row>
    <row r="530" spans="2:2">
      <c r="B530" s="66"/>
    </row>
    <row r="531" spans="2:2">
      <c r="B531" s="66"/>
    </row>
    <row r="532" spans="2:2">
      <c r="B532" s="66"/>
    </row>
    <row r="533" spans="2:2">
      <c r="B533" s="66"/>
    </row>
    <row r="534" spans="2:2">
      <c r="B534" s="66"/>
    </row>
    <row r="535" spans="2:2">
      <c r="B535" s="66"/>
    </row>
    <row r="536" spans="2:2">
      <c r="B536" s="66"/>
    </row>
    <row r="537" spans="2:2">
      <c r="B537" s="66"/>
    </row>
    <row r="538" spans="2:2">
      <c r="B538" s="66"/>
    </row>
    <row r="539" spans="2:2">
      <c r="B539" s="66"/>
    </row>
    <row r="540" spans="2:2">
      <c r="B540" s="66"/>
    </row>
    <row r="541" spans="2:2">
      <c r="B541" s="66"/>
    </row>
    <row r="542" spans="2:2">
      <c r="B542" s="66"/>
    </row>
    <row r="543" spans="2:2">
      <c r="B543" s="66"/>
    </row>
    <row r="544" spans="2:2">
      <c r="B544" s="66"/>
    </row>
    <row r="545" spans="2:2">
      <c r="B545" s="66"/>
    </row>
    <row r="546" spans="2:2">
      <c r="B546" s="66"/>
    </row>
    <row r="547" spans="2:2">
      <c r="B547" s="66"/>
    </row>
    <row r="548" spans="2:2">
      <c r="B548" s="66"/>
    </row>
    <row r="549" spans="2:2">
      <c r="B549" s="66"/>
    </row>
    <row r="550" spans="2:2">
      <c r="B550" s="66"/>
    </row>
    <row r="551" spans="2:2">
      <c r="B551" s="66"/>
    </row>
    <row r="552" spans="2:2">
      <c r="B552" s="66"/>
    </row>
    <row r="553" spans="2:2">
      <c r="B553" s="66"/>
    </row>
    <row r="554" spans="2:2">
      <c r="B554" s="66"/>
    </row>
    <row r="555" spans="2:2">
      <c r="B555" s="66"/>
    </row>
    <row r="556" spans="2:2">
      <c r="B556" s="66"/>
    </row>
    <row r="557" spans="2:2">
      <c r="B557" s="66"/>
    </row>
    <row r="558" spans="2:2">
      <c r="B558" s="66"/>
    </row>
    <row r="559" spans="2:2">
      <c r="B559" s="66"/>
    </row>
    <row r="560" spans="2:2">
      <c r="B560" s="66"/>
    </row>
    <row r="561" spans="2:2">
      <c r="B561" s="66"/>
    </row>
    <row r="562" spans="2:2">
      <c r="B562" s="66"/>
    </row>
    <row r="563" spans="2:2">
      <c r="B563" s="66"/>
    </row>
    <row r="564" spans="2:2">
      <c r="B564" s="66"/>
    </row>
    <row r="565" spans="2:2">
      <c r="B565" s="66"/>
    </row>
    <row r="566" spans="2:2">
      <c r="B566" s="66"/>
    </row>
    <row r="567" spans="2:2">
      <c r="B567" s="66"/>
    </row>
    <row r="568" spans="2:2">
      <c r="B568" s="66"/>
    </row>
    <row r="569" spans="2:2">
      <c r="B569" s="66"/>
    </row>
    <row r="570" spans="2:2">
      <c r="B570" s="66"/>
    </row>
    <row r="571" spans="2:2">
      <c r="B571" s="66"/>
    </row>
    <row r="572" spans="2:2">
      <c r="B572" s="66"/>
    </row>
    <row r="573" spans="2:2">
      <c r="B573" s="66"/>
    </row>
    <row r="574" spans="2:2">
      <c r="B574" s="66"/>
    </row>
    <row r="575" spans="2:2">
      <c r="B575" s="66"/>
    </row>
    <row r="576" spans="2:2">
      <c r="B576" s="66"/>
    </row>
    <row r="577" spans="2:2">
      <c r="B577" s="66"/>
    </row>
    <row r="578" spans="2:2">
      <c r="B578" s="66"/>
    </row>
    <row r="579" spans="2:2">
      <c r="B579" s="66"/>
    </row>
    <row r="580" spans="2:2">
      <c r="B580" s="66"/>
    </row>
    <row r="581" spans="2:2">
      <c r="B581" s="66"/>
    </row>
    <row r="582" spans="2:2">
      <c r="B582" s="66"/>
    </row>
    <row r="583" spans="2:2">
      <c r="B583" s="66"/>
    </row>
    <row r="584" spans="2:2">
      <c r="B584" s="66"/>
    </row>
    <row r="585" spans="2:2">
      <c r="B585" s="66"/>
    </row>
    <row r="586" spans="2:2">
      <c r="B586" s="66"/>
    </row>
    <row r="587" spans="2:2">
      <c r="B587" s="66"/>
    </row>
    <row r="588" spans="2:2">
      <c r="B588" s="66"/>
    </row>
    <row r="589" spans="2:2">
      <c r="B589" s="66"/>
    </row>
    <row r="590" spans="2:2">
      <c r="B590" s="66"/>
    </row>
    <row r="591" spans="2:2">
      <c r="B591" s="66"/>
    </row>
    <row r="592" spans="2:2">
      <c r="B592" s="66"/>
    </row>
    <row r="593" spans="2:2">
      <c r="B593" s="66"/>
    </row>
    <row r="594" spans="2:2">
      <c r="B594" s="66"/>
    </row>
    <row r="595" spans="2:2">
      <c r="B595" s="66"/>
    </row>
    <row r="596" spans="2:2">
      <c r="B596" s="66"/>
    </row>
    <row r="597" spans="2:2">
      <c r="B597" s="66"/>
    </row>
    <row r="598" spans="2:2">
      <c r="B598" s="66"/>
    </row>
    <row r="599" spans="2:2">
      <c r="B599" s="66"/>
    </row>
    <row r="600" spans="2:2">
      <c r="B600" s="66"/>
    </row>
    <row r="601" spans="2:2">
      <c r="B601" s="66"/>
    </row>
    <row r="602" spans="2:2">
      <c r="B602" s="66"/>
    </row>
    <row r="603" spans="2:2">
      <c r="B603" s="66"/>
    </row>
    <row r="604" spans="2:2">
      <c r="B604" s="66"/>
    </row>
    <row r="605" spans="2:2">
      <c r="B605" s="66"/>
    </row>
    <row r="606" spans="2:2">
      <c r="B606" s="66"/>
    </row>
    <row r="607" spans="2:2">
      <c r="B607" s="66"/>
    </row>
    <row r="608" spans="2:2">
      <c r="B608" s="66"/>
    </row>
    <row r="609" spans="2:2">
      <c r="B609" s="66"/>
    </row>
    <row r="610" spans="2:2">
      <c r="B610" s="66"/>
    </row>
    <row r="611" spans="2:2">
      <c r="B611" s="66"/>
    </row>
    <row r="612" spans="2:2">
      <c r="B612" s="66"/>
    </row>
    <row r="613" spans="2:2">
      <c r="B613" s="66"/>
    </row>
    <row r="614" spans="2:2">
      <c r="B614" s="66"/>
    </row>
    <row r="615" spans="2:2">
      <c r="B615" s="66"/>
    </row>
    <row r="616" spans="2:2">
      <c r="B616" s="66"/>
    </row>
    <row r="617" spans="2:2">
      <c r="B617" s="66"/>
    </row>
    <row r="618" spans="2:2">
      <c r="B618" s="66"/>
    </row>
    <row r="619" spans="2:2">
      <c r="B619" s="66"/>
    </row>
    <row r="620" spans="2:2">
      <c r="B620" s="66"/>
    </row>
    <row r="621" spans="2:2">
      <c r="B621" s="66"/>
    </row>
    <row r="622" spans="2:2">
      <c r="B622" s="66"/>
    </row>
    <row r="623" spans="2:2">
      <c r="B623" s="66"/>
    </row>
    <row r="624" spans="2:2">
      <c r="B624" s="66"/>
    </row>
    <row r="625" spans="2:2">
      <c r="B625" s="66"/>
    </row>
    <row r="626" spans="2:2">
      <c r="B626" s="66"/>
    </row>
    <row r="627" spans="2:2">
      <c r="B627" s="66"/>
    </row>
    <row r="628" spans="2:2">
      <c r="B628" s="66"/>
    </row>
    <row r="629" spans="2:2">
      <c r="B629" s="66"/>
    </row>
    <row r="630" spans="2:2">
      <c r="B630" s="66"/>
    </row>
    <row r="631" spans="2:2">
      <c r="B631" s="66"/>
    </row>
    <row r="632" spans="2:2">
      <c r="B632" s="66"/>
    </row>
    <row r="633" spans="2:2">
      <c r="B633" s="66"/>
    </row>
    <row r="634" spans="2:2">
      <c r="B634" s="66"/>
    </row>
    <row r="635" spans="2:2">
      <c r="B635" s="66"/>
    </row>
    <row r="636" spans="2:2">
      <c r="B636" s="66"/>
    </row>
    <row r="637" spans="2:2">
      <c r="B637" s="66"/>
    </row>
    <row r="638" spans="2:2">
      <c r="B638" s="66"/>
    </row>
    <row r="639" spans="2:2">
      <c r="B639" s="66"/>
    </row>
    <row r="640" spans="2:2">
      <c r="B640" s="66"/>
    </row>
    <row r="641" spans="2:2">
      <c r="B641" s="66"/>
    </row>
    <row r="642" spans="2:2">
      <c r="B642" s="66"/>
    </row>
    <row r="643" spans="2:2">
      <c r="B643" s="66"/>
    </row>
    <row r="644" spans="2:2">
      <c r="B644" s="66"/>
    </row>
    <row r="645" spans="2:2">
      <c r="B645" s="66"/>
    </row>
    <row r="646" spans="2:2">
      <c r="B646" s="66"/>
    </row>
    <row r="647" spans="2:2">
      <c r="B647" s="66"/>
    </row>
    <row r="648" spans="2:2">
      <c r="B648" s="66"/>
    </row>
    <row r="649" spans="2:2">
      <c r="B649" s="66"/>
    </row>
    <row r="650" spans="2:2">
      <c r="B650" s="66"/>
    </row>
    <row r="651" spans="2:2">
      <c r="B651" s="66"/>
    </row>
    <row r="652" spans="2:2">
      <c r="B652" s="66"/>
    </row>
    <row r="653" spans="2:2">
      <c r="B653" s="66"/>
    </row>
    <row r="654" spans="2:2">
      <c r="B654" s="66"/>
    </row>
    <row r="655" spans="2:2">
      <c r="B655" s="66"/>
    </row>
    <row r="656" spans="2:2">
      <c r="B656" s="66"/>
    </row>
    <row r="657" spans="2:2">
      <c r="B657" s="66"/>
    </row>
    <row r="658" spans="2:2">
      <c r="B658" s="66"/>
    </row>
    <row r="659" spans="2:2">
      <c r="B659" s="66"/>
    </row>
    <row r="660" spans="2:2">
      <c r="B660" s="66"/>
    </row>
    <row r="661" spans="2:2">
      <c r="B661" s="66"/>
    </row>
    <row r="662" spans="2:2">
      <c r="B662" s="66"/>
    </row>
    <row r="663" spans="2:2">
      <c r="B663" s="66"/>
    </row>
    <row r="664" spans="2:2">
      <c r="B664" s="66"/>
    </row>
    <row r="665" spans="2:2">
      <c r="B665" s="66"/>
    </row>
    <row r="666" spans="2:2">
      <c r="B666" s="66"/>
    </row>
    <row r="667" spans="2:2">
      <c r="B667" s="66"/>
    </row>
    <row r="668" spans="2:2">
      <c r="B668" s="66"/>
    </row>
    <row r="669" spans="2:2">
      <c r="B669" s="66"/>
    </row>
    <row r="670" spans="2:2">
      <c r="B670" s="66"/>
    </row>
    <row r="671" spans="2:2">
      <c r="B671" s="66"/>
    </row>
    <row r="672" spans="2:2">
      <c r="B672" s="66"/>
    </row>
    <row r="673" spans="2:2">
      <c r="B673" s="66"/>
    </row>
    <row r="674" spans="2:2">
      <c r="B674" s="66"/>
    </row>
    <row r="675" spans="2:2">
      <c r="B675" s="66"/>
    </row>
    <row r="676" spans="2:2">
      <c r="B676" s="66"/>
    </row>
    <row r="677" spans="2:2">
      <c r="B677" s="66"/>
    </row>
    <row r="678" spans="2:2">
      <c r="B678" s="66"/>
    </row>
    <row r="679" spans="2:2">
      <c r="B679" s="66"/>
    </row>
    <row r="680" spans="2:2">
      <c r="B680" s="66"/>
    </row>
    <row r="681" spans="2:2">
      <c r="B681" s="66"/>
    </row>
    <row r="682" spans="2:2">
      <c r="B682" s="66"/>
    </row>
    <row r="683" spans="2:2">
      <c r="B683" s="66"/>
    </row>
    <row r="684" spans="2:2">
      <c r="B684" s="66"/>
    </row>
    <row r="685" spans="2:2">
      <c r="B685" s="66"/>
    </row>
    <row r="686" spans="2:2">
      <c r="B686" s="66"/>
    </row>
    <row r="687" spans="2:2">
      <c r="B687" s="66"/>
    </row>
    <row r="688" spans="2:2">
      <c r="B688" s="66"/>
    </row>
    <row r="689" spans="2:2">
      <c r="B689" s="66"/>
    </row>
    <row r="690" spans="2:2">
      <c r="B690" s="66"/>
    </row>
    <row r="691" spans="2:2">
      <c r="B691" s="66"/>
    </row>
    <row r="692" spans="2:2">
      <c r="B692" s="66"/>
    </row>
    <row r="693" spans="2:2">
      <c r="B693" s="66"/>
    </row>
    <row r="694" spans="2:2">
      <c r="B694" s="66"/>
    </row>
    <row r="695" spans="2:2">
      <c r="B695" s="66"/>
    </row>
    <row r="696" spans="2:2">
      <c r="B696" s="66"/>
    </row>
    <row r="697" spans="2:2">
      <c r="B697" s="66"/>
    </row>
    <row r="698" spans="2:2">
      <c r="B698" s="66"/>
    </row>
    <row r="699" spans="2:2">
      <c r="B699" s="66"/>
    </row>
    <row r="700" spans="2:2">
      <c r="B700" s="66"/>
    </row>
    <row r="701" spans="2:2">
      <c r="B701" s="66"/>
    </row>
    <row r="702" spans="2:2">
      <c r="B702" s="66"/>
    </row>
    <row r="703" spans="2:2">
      <c r="B703" s="66"/>
    </row>
    <row r="704" spans="2:2">
      <c r="B704" s="66"/>
    </row>
    <row r="705" spans="2:2">
      <c r="B705" s="66"/>
    </row>
    <row r="706" spans="2:2">
      <c r="B706" s="66"/>
    </row>
    <row r="707" spans="2:2">
      <c r="B707" s="66"/>
    </row>
    <row r="708" spans="2:2">
      <c r="B708" s="66"/>
    </row>
    <row r="709" spans="2:2">
      <c r="B709" s="66"/>
    </row>
    <row r="710" spans="2:2">
      <c r="B710" s="66"/>
    </row>
    <row r="711" spans="2:2">
      <c r="B711" s="66"/>
    </row>
    <row r="712" spans="2:2">
      <c r="B712" s="66"/>
    </row>
    <row r="713" spans="2:2">
      <c r="B713" s="66"/>
    </row>
    <row r="714" spans="2:2">
      <c r="B714" s="66"/>
    </row>
    <row r="715" spans="2:2">
      <c r="B715" s="66"/>
    </row>
    <row r="716" spans="2:2">
      <c r="B716" s="66"/>
    </row>
    <row r="717" spans="2:2">
      <c r="B717" s="66"/>
    </row>
    <row r="718" spans="2:2">
      <c r="B718" s="66"/>
    </row>
    <row r="719" spans="2:2">
      <c r="B719" s="66"/>
    </row>
    <row r="720" spans="2:2">
      <c r="B720" s="66"/>
    </row>
    <row r="721" spans="2:2">
      <c r="B721" s="66"/>
    </row>
    <row r="722" spans="2:2">
      <c r="B722" s="66"/>
    </row>
    <row r="723" spans="2:2">
      <c r="B723" s="66"/>
    </row>
    <row r="724" spans="2:2">
      <c r="B724" s="66"/>
    </row>
    <row r="725" spans="2:2">
      <c r="B725" s="66"/>
    </row>
    <row r="726" spans="2:2">
      <c r="B726" s="66"/>
    </row>
    <row r="727" spans="2:2">
      <c r="B727" s="66"/>
    </row>
    <row r="728" spans="2:2">
      <c r="B728" s="66"/>
    </row>
    <row r="729" spans="2:2">
      <c r="B729" s="66"/>
    </row>
    <row r="730" spans="2:2">
      <c r="B730" s="66"/>
    </row>
    <row r="731" spans="2:2">
      <c r="B731" s="66"/>
    </row>
    <row r="732" spans="2:2">
      <c r="B732" s="66"/>
    </row>
    <row r="733" spans="2:2">
      <c r="B733" s="66"/>
    </row>
    <row r="734" spans="2:2">
      <c r="B734" s="66"/>
    </row>
    <row r="735" spans="2:2">
      <c r="B735" s="66"/>
    </row>
    <row r="736" spans="2:2">
      <c r="B736" s="66"/>
    </row>
    <row r="737" spans="2:2">
      <c r="B737" s="66"/>
    </row>
    <row r="738" spans="2:2">
      <c r="B738" s="66"/>
    </row>
    <row r="739" spans="2:2">
      <c r="B739" s="66"/>
    </row>
    <row r="740" spans="2:2">
      <c r="B740" s="66"/>
    </row>
    <row r="741" spans="2:2">
      <c r="B741" s="66"/>
    </row>
    <row r="742" spans="2:2">
      <c r="B742" s="66"/>
    </row>
    <row r="743" spans="2:2">
      <c r="B743" s="66"/>
    </row>
    <row r="744" spans="2:2">
      <c r="B744" s="66"/>
    </row>
    <row r="745" spans="2:2">
      <c r="B745" s="66"/>
    </row>
    <row r="746" spans="2:2">
      <c r="B746" s="66"/>
    </row>
    <row r="747" spans="2:2">
      <c r="B747" s="66"/>
    </row>
    <row r="748" spans="2:2">
      <c r="B748" s="66"/>
    </row>
    <row r="749" spans="2:2">
      <c r="B749" s="66"/>
    </row>
    <row r="750" spans="2:2">
      <c r="B750" s="66"/>
    </row>
    <row r="751" spans="2:2">
      <c r="B751" s="66"/>
    </row>
    <row r="752" spans="2:2">
      <c r="B752" s="66"/>
    </row>
    <row r="753" spans="2:2">
      <c r="B753" s="66"/>
    </row>
    <row r="754" spans="2:2">
      <c r="B754" s="66"/>
    </row>
    <row r="755" spans="2:2">
      <c r="B755" s="66"/>
    </row>
    <row r="756" spans="2:2">
      <c r="B756" s="66"/>
    </row>
    <row r="757" spans="2:2">
      <c r="B757" s="66"/>
    </row>
    <row r="758" spans="2:2">
      <c r="B758" s="66"/>
    </row>
    <row r="759" spans="2:2">
      <c r="B759" s="66"/>
    </row>
    <row r="760" spans="2:2">
      <c r="B760" s="66"/>
    </row>
    <row r="761" spans="2:2">
      <c r="B761" s="66"/>
    </row>
    <row r="762" spans="2:2">
      <c r="B762" s="66"/>
    </row>
    <row r="763" spans="2:2">
      <c r="B763" s="66"/>
    </row>
    <row r="764" spans="2:2">
      <c r="B764" s="66"/>
    </row>
    <row r="765" spans="2:2">
      <c r="B765" s="66"/>
    </row>
    <row r="766" spans="2:2">
      <c r="B766" s="66"/>
    </row>
    <row r="767" spans="2:2">
      <c r="B767" s="66"/>
    </row>
    <row r="768" spans="2:2">
      <c r="B768" s="66"/>
    </row>
    <row r="769" spans="2:2">
      <c r="B769" s="66"/>
    </row>
    <row r="770" spans="2:2">
      <c r="B770" s="66"/>
    </row>
    <row r="771" spans="2:2">
      <c r="B771" s="66"/>
    </row>
    <row r="772" spans="2:2">
      <c r="B772" s="66"/>
    </row>
    <row r="773" spans="2:2">
      <c r="B773" s="66"/>
    </row>
    <row r="774" spans="2:2">
      <c r="B774" s="66"/>
    </row>
    <row r="775" spans="2:2">
      <c r="B775" s="66"/>
    </row>
    <row r="776" spans="2:2">
      <c r="B776" s="66"/>
    </row>
    <row r="777" spans="2:2">
      <c r="B777" s="66"/>
    </row>
    <row r="778" spans="2:2">
      <c r="B778" s="66"/>
    </row>
    <row r="779" spans="2:2">
      <c r="B779" s="66"/>
    </row>
    <row r="780" spans="2:2">
      <c r="B780" s="66"/>
    </row>
    <row r="781" spans="2:2">
      <c r="B781" s="66"/>
    </row>
    <row r="782" spans="2:2">
      <c r="B782" s="66"/>
    </row>
    <row r="783" spans="2:2">
      <c r="B783" s="66"/>
    </row>
    <row r="784" spans="2:2">
      <c r="B784" s="66"/>
    </row>
    <row r="785" spans="2:2">
      <c r="B785" s="66"/>
    </row>
    <row r="786" spans="2:2">
      <c r="B786" s="66"/>
    </row>
    <row r="787" spans="2:2">
      <c r="B787" s="66"/>
    </row>
    <row r="788" spans="2:2">
      <c r="B788" s="66"/>
    </row>
    <row r="789" spans="2:2">
      <c r="B789" s="66"/>
    </row>
    <row r="790" spans="2:2">
      <c r="B790" s="66"/>
    </row>
    <row r="791" spans="2:2">
      <c r="B791" s="66"/>
    </row>
    <row r="792" spans="2:2">
      <c r="B792" s="66"/>
    </row>
    <row r="793" spans="2:2">
      <c r="B793" s="66"/>
    </row>
    <row r="794" spans="2:2">
      <c r="B794" s="66"/>
    </row>
    <row r="795" spans="2:2">
      <c r="B795" s="66"/>
    </row>
    <row r="796" spans="2:2">
      <c r="B796" s="66"/>
    </row>
    <row r="797" spans="2:2">
      <c r="B797" s="66"/>
    </row>
    <row r="798" spans="2:2">
      <c r="B798" s="66"/>
    </row>
    <row r="799" spans="2:2">
      <c r="B799" s="66"/>
    </row>
    <row r="800" spans="2:2">
      <c r="B800" s="66"/>
    </row>
    <row r="801" spans="2:2">
      <c r="B801" s="66"/>
    </row>
    <row r="802" spans="2:2">
      <c r="B802" s="66"/>
    </row>
    <row r="803" spans="2:2">
      <c r="B803" s="66"/>
    </row>
    <row r="804" spans="2:2">
      <c r="B804" s="66"/>
    </row>
    <row r="805" spans="2:2">
      <c r="B805" s="66"/>
    </row>
    <row r="806" spans="2:2">
      <c r="B806" s="66"/>
    </row>
    <row r="807" spans="2:2">
      <c r="B807" s="66"/>
    </row>
    <row r="808" spans="2:2">
      <c r="B808" s="66"/>
    </row>
    <row r="809" spans="2:2">
      <c r="B809" s="66"/>
    </row>
    <row r="810" spans="2:2">
      <c r="B810" s="66"/>
    </row>
    <row r="811" spans="2:2">
      <c r="B811" s="66"/>
    </row>
    <row r="812" spans="2:2">
      <c r="B812" s="66"/>
    </row>
    <row r="813" spans="2:2">
      <c r="B813" s="66"/>
    </row>
    <row r="814" spans="2:2">
      <c r="B814" s="66"/>
    </row>
    <row r="815" spans="2:2">
      <c r="B815" s="66"/>
    </row>
    <row r="816" spans="2:2">
      <c r="B816" s="66"/>
    </row>
    <row r="817" spans="2:2">
      <c r="B817" s="66"/>
    </row>
    <row r="818" spans="2:2">
      <c r="B818" s="66"/>
    </row>
    <row r="819" spans="2:2">
      <c r="B819" s="66"/>
    </row>
    <row r="820" spans="2:2">
      <c r="B820" s="66"/>
    </row>
    <row r="821" spans="2:2">
      <c r="B821" s="66"/>
    </row>
    <row r="822" spans="2:2">
      <c r="B822" s="66"/>
    </row>
    <row r="823" spans="2:2">
      <c r="B823" s="66"/>
    </row>
    <row r="824" spans="2:2">
      <c r="B824" s="66"/>
    </row>
    <row r="825" spans="2:2">
      <c r="B825" s="66"/>
    </row>
    <row r="826" spans="2:2">
      <c r="B826" s="66"/>
    </row>
    <row r="827" spans="2:2">
      <c r="B827" s="66"/>
    </row>
    <row r="828" spans="2:2">
      <c r="B828" s="66"/>
    </row>
    <row r="829" spans="2:2">
      <c r="B829" s="66"/>
    </row>
    <row r="830" spans="2:2">
      <c r="B830" s="66"/>
    </row>
    <row r="831" spans="2:2">
      <c r="B831" s="66"/>
    </row>
    <row r="832" spans="2:2">
      <c r="B832" s="66"/>
    </row>
    <row r="833" spans="2:2">
      <c r="B833" s="66"/>
    </row>
    <row r="834" spans="2:2">
      <c r="B834" s="66"/>
    </row>
    <row r="835" spans="2:2">
      <c r="B835" s="66"/>
    </row>
    <row r="836" spans="2:2">
      <c r="B836" s="66"/>
    </row>
    <row r="837" spans="2:2">
      <c r="B837" s="66"/>
    </row>
    <row r="838" spans="2:2">
      <c r="B838" s="66"/>
    </row>
    <row r="839" spans="2:2">
      <c r="B839" s="66"/>
    </row>
    <row r="840" spans="2:2">
      <c r="B840" s="66"/>
    </row>
    <row r="841" spans="2:2">
      <c r="B841" s="66"/>
    </row>
    <row r="842" spans="2:2">
      <c r="B842" s="66"/>
    </row>
    <row r="843" spans="2:2">
      <c r="B843" s="66"/>
    </row>
    <row r="844" spans="2:2">
      <c r="B844" s="66"/>
    </row>
    <row r="845" spans="2:2">
      <c r="B845" s="66"/>
    </row>
    <row r="846" spans="2:2">
      <c r="B846" s="66"/>
    </row>
    <row r="847" spans="2:2">
      <c r="B847" s="66"/>
    </row>
    <row r="848" spans="2:2">
      <c r="B848" s="66"/>
    </row>
    <row r="849" spans="2:2">
      <c r="B849" s="66"/>
    </row>
    <row r="850" spans="2:2">
      <c r="B850" s="66"/>
    </row>
    <row r="851" spans="2:2">
      <c r="B851" s="66"/>
    </row>
    <row r="852" spans="2:2">
      <c r="B852" s="66"/>
    </row>
    <row r="853" spans="2:2">
      <c r="B853" s="66"/>
    </row>
    <row r="854" spans="2:2">
      <c r="B854" s="66"/>
    </row>
    <row r="855" spans="2:2">
      <c r="B855" s="66"/>
    </row>
    <row r="856" spans="2:2">
      <c r="B856" s="66"/>
    </row>
    <row r="857" spans="2:2">
      <c r="B857" s="66"/>
    </row>
    <row r="858" spans="2:2">
      <c r="B858" s="66"/>
    </row>
    <row r="859" spans="2:2">
      <c r="B859" s="66"/>
    </row>
    <row r="860" spans="2:2">
      <c r="B860" s="66"/>
    </row>
    <row r="861" spans="2:2">
      <c r="B861" s="66"/>
    </row>
    <row r="862" spans="2:2">
      <c r="B862" s="66"/>
    </row>
    <row r="863" spans="2:2">
      <c r="B863" s="66"/>
    </row>
    <row r="864" spans="2:2">
      <c r="B864" s="66"/>
    </row>
    <row r="865" spans="2:2">
      <c r="B865" s="66"/>
    </row>
    <row r="866" spans="2:2">
      <c r="B866" s="66"/>
    </row>
    <row r="867" spans="2:2">
      <c r="B867" s="66"/>
    </row>
    <row r="868" spans="2:2">
      <c r="B868" s="66"/>
    </row>
    <row r="869" spans="2:2">
      <c r="B869" s="66"/>
    </row>
    <row r="870" spans="2:2">
      <c r="B870" s="66"/>
    </row>
    <row r="871" spans="2:2">
      <c r="B871" s="66"/>
    </row>
    <row r="872" spans="2:2">
      <c r="B872" s="66"/>
    </row>
    <row r="873" spans="2:2">
      <c r="B873" s="66"/>
    </row>
    <row r="874" spans="2:2">
      <c r="B874" s="66"/>
    </row>
    <row r="875" spans="2:2">
      <c r="B875" s="66"/>
    </row>
    <row r="876" spans="2:2">
      <c r="B876" s="66"/>
    </row>
    <row r="877" spans="2:2">
      <c r="B877" s="66"/>
    </row>
    <row r="878" spans="2:2">
      <c r="B878" s="66"/>
    </row>
    <row r="879" spans="2:2">
      <c r="B879" s="66"/>
    </row>
    <row r="880" spans="2:2">
      <c r="B880" s="66"/>
    </row>
    <row r="881" spans="2:2">
      <c r="B881" s="66"/>
    </row>
    <row r="882" spans="2:2">
      <c r="B882" s="66"/>
    </row>
    <row r="883" spans="2:2">
      <c r="B883" s="66"/>
    </row>
    <row r="884" spans="2:2">
      <c r="B884" s="66"/>
    </row>
    <row r="885" spans="2:2">
      <c r="B885" s="66"/>
    </row>
    <row r="886" spans="2:2">
      <c r="B886" s="66"/>
    </row>
    <row r="887" spans="2:2">
      <c r="B887" s="66"/>
    </row>
    <row r="888" spans="2:2">
      <c r="B888" s="66"/>
    </row>
    <row r="889" spans="2:2">
      <c r="B889" s="66"/>
    </row>
    <row r="890" spans="2:2">
      <c r="B890" s="66"/>
    </row>
    <row r="891" spans="2:2">
      <c r="B891" s="66"/>
    </row>
    <row r="892" spans="2:2">
      <c r="B892" s="66"/>
    </row>
    <row r="893" spans="2:2">
      <c r="B893" s="66"/>
    </row>
    <row r="894" spans="2:2">
      <c r="B894" s="66"/>
    </row>
    <row r="895" spans="2:2">
      <c r="B895" s="66"/>
    </row>
    <row r="896" spans="2:2">
      <c r="B896" s="66"/>
    </row>
    <row r="897" spans="2:2">
      <c r="B897" s="66"/>
    </row>
    <row r="898" spans="2:2">
      <c r="B898" s="66"/>
    </row>
    <row r="899" spans="2:2">
      <c r="B899" s="66"/>
    </row>
    <row r="900" spans="2:2">
      <c r="B900" s="66"/>
    </row>
    <row r="901" spans="2:2">
      <c r="B901" s="66"/>
    </row>
    <row r="902" spans="2:2">
      <c r="B902" s="66"/>
    </row>
    <row r="903" spans="2:2">
      <c r="B903" s="66"/>
    </row>
    <row r="904" spans="2:2">
      <c r="B904" s="66"/>
    </row>
  </sheetData>
  <sheetProtection algorithmName="SHA-512" hashValue="IEZm0I0Jy8hUOgbds5nd7SnPbgXX9I7ZQ44XfXOE8U0FsQF7cDMvmVjKQBBPLCdaEutIquhYd35eQSeEIbDacA==" saltValue="ewRmonVNXn9n+k3xachb9w==" spinCount="100000" sheet="1" objects="1" scenarios="1"/>
  <mergeCells count="3">
    <mergeCell ref="B7:C7"/>
    <mergeCell ref="B9:C9"/>
    <mergeCell ref="B28:H28"/>
  </mergeCells>
  <pageMargins left="0.7" right="0.7" top="0.75" bottom="0.75" header="0.3" footer="0.3"/>
  <pageSetup orientation="portrait" horizontalDpi="0" verticalDpi="0"/>
  <ignoredErrors>
    <ignoredError sqref="H13 L13 P24" formula="1"/>
  </ignoredErrors>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C5C8C-EC7E-2B42-80A0-79097955F13D}">
  <sheetPr codeName="Sheet5"/>
  <dimension ref="B4:AJ859"/>
  <sheetViews>
    <sheetView showGridLines="0" zoomScaleNormal="100" workbookViewId="0">
      <pane ySplit="9" topLeftCell="A10" activePane="bottomLeft" state="frozen"/>
      <selection activeCell="B1" sqref="B1"/>
      <selection pane="bottomLeft" activeCell="E25" sqref="E25"/>
    </sheetView>
  </sheetViews>
  <sheetFormatPr baseColWidth="10" defaultColWidth="10.83203125" defaultRowHeight="15"/>
  <cols>
    <col min="1" max="1" width="1.6640625" style="2" customWidth="1"/>
    <col min="2" max="2" width="4.5" style="2" customWidth="1"/>
    <col min="3" max="3" width="57.1640625" style="2" customWidth="1"/>
    <col min="4" max="10" width="17" style="2" customWidth="1"/>
    <col min="11" max="11" width="17.1640625" style="2" customWidth="1"/>
    <col min="12" max="18" width="12.83203125" style="2" hidden="1" customWidth="1"/>
    <col min="19" max="19" width="12.83203125" style="2" customWidth="1"/>
    <col min="20" max="23" width="12.1640625" style="2" hidden="1" customWidth="1"/>
    <col min="24" max="24" width="12.1640625" style="4" hidden="1" customWidth="1"/>
    <col min="25" max="26" width="12.83203125" style="2" hidden="1" customWidth="1"/>
    <col min="27" max="27" width="13.1640625" style="2" customWidth="1"/>
    <col min="28" max="31" width="12.1640625" style="2" hidden="1" customWidth="1"/>
    <col min="32" max="33" width="12.83203125" style="2" hidden="1" customWidth="1"/>
    <col min="34" max="34" width="13.5" style="4" hidden="1" customWidth="1"/>
    <col min="35" max="16384" width="10.83203125" style="2"/>
  </cols>
  <sheetData>
    <row r="4" spans="2:34">
      <c r="J4" s="145"/>
    </row>
    <row r="5" spans="2:34" ht="16">
      <c r="G5" s="146"/>
      <c r="O5" s="146"/>
    </row>
    <row r="7" spans="2:34" ht="21" customHeight="1">
      <c r="B7" s="140" t="s">
        <v>415</v>
      </c>
      <c r="C7" s="140"/>
    </row>
    <row r="9" spans="2:34" s="9" customFormat="1" ht="20" customHeight="1">
      <c r="B9" s="141" t="s">
        <v>71</v>
      </c>
      <c r="C9" s="141"/>
      <c r="D9" s="6" t="s">
        <v>0</v>
      </c>
      <c r="E9" s="6" t="s">
        <v>1</v>
      </c>
      <c r="F9" s="6" t="s">
        <v>41</v>
      </c>
      <c r="G9" s="6" t="s">
        <v>2</v>
      </c>
      <c r="H9" s="5" t="s">
        <v>34</v>
      </c>
      <c r="I9" s="5" t="s">
        <v>42</v>
      </c>
      <c r="J9" s="5" t="s">
        <v>5</v>
      </c>
      <c r="K9" s="147" t="s">
        <v>6</v>
      </c>
      <c r="L9" s="6" t="s">
        <v>0</v>
      </c>
      <c r="M9" s="6" t="s">
        <v>1</v>
      </c>
      <c r="N9" s="6" t="s">
        <v>41</v>
      </c>
      <c r="O9" s="6" t="s">
        <v>2</v>
      </c>
      <c r="P9" s="5" t="s">
        <v>34</v>
      </c>
      <c r="Q9" s="5" t="s">
        <v>42</v>
      </c>
      <c r="R9" s="5" t="s">
        <v>5</v>
      </c>
      <c r="S9" s="147" t="s">
        <v>7</v>
      </c>
      <c r="T9" s="5" t="s">
        <v>8</v>
      </c>
      <c r="U9" s="5" t="s">
        <v>9</v>
      </c>
      <c r="V9" s="5" t="s">
        <v>43</v>
      </c>
      <c r="W9" s="5" t="s">
        <v>11</v>
      </c>
      <c r="X9" s="5" t="s">
        <v>10</v>
      </c>
      <c r="Y9" s="5" t="s">
        <v>13</v>
      </c>
      <c r="Z9" s="5" t="s">
        <v>14</v>
      </c>
      <c r="AA9" s="147" t="s">
        <v>15</v>
      </c>
      <c r="AB9" s="5" t="s">
        <v>44</v>
      </c>
      <c r="AC9" s="5" t="s">
        <v>45</v>
      </c>
      <c r="AD9" s="5" t="s">
        <v>46</v>
      </c>
      <c r="AE9" s="5" t="s">
        <v>47</v>
      </c>
      <c r="AF9" s="5" t="s">
        <v>48</v>
      </c>
      <c r="AG9" s="5" t="s">
        <v>49</v>
      </c>
      <c r="AH9" s="147" t="s">
        <v>50</v>
      </c>
    </row>
    <row r="10" spans="2:34">
      <c r="B10" s="10" t="s">
        <v>368</v>
      </c>
      <c r="C10" s="11"/>
      <c r="X10" s="2"/>
      <c r="AH10" s="2"/>
    </row>
    <row r="11" spans="2:34" ht="16">
      <c r="C11" s="11" t="s">
        <v>364</v>
      </c>
      <c r="D11" s="39">
        <v>433409</v>
      </c>
      <c r="E11" s="39">
        <v>440973</v>
      </c>
      <c r="F11" s="12">
        <v>0</v>
      </c>
      <c r="G11" s="148" t="s">
        <v>17</v>
      </c>
      <c r="H11" s="148" t="s">
        <v>17</v>
      </c>
      <c r="I11" s="148" t="s">
        <v>17</v>
      </c>
      <c r="J11" s="148" t="s">
        <v>17</v>
      </c>
      <c r="K11" s="71">
        <f>SUM(D11:E11)</f>
        <v>874382</v>
      </c>
      <c r="L11" s="12">
        <v>412303</v>
      </c>
      <c r="M11" s="12">
        <v>422239</v>
      </c>
      <c r="N11" s="12">
        <v>0</v>
      </c>
      <c r="O11" s="148" t="s">
        <v>17</v>
      </c>
      <c r="P11" s="148" t="s">
        <v>17</v>
      </c>
      <c r="Q11" s="148" t="s">
        <v>17</v>
      </c>
      <c r="R11" s="148" t="s">
        <v>17</v>
      </c>
      <c r="S11" s="71">
        <f>SUM(L11:M11)</f>
        <v>834542</v>
      </c>
      <c r="T11" s="61">
        <v>414355</v>
      </c>
      <c r="U11" s="61">
        <v>418514</v>
      </c>
      <c r="V11" s="70"/>
      <c r="W11" s="61">
        <v>54555</v>
      </c>
      <c r="X11" s="61"/>
      <c r="Y11" s="61"/>
      <c r="Z11" s="61"/>
      <c r="AA11" s="13">
        <f>SUM(T11:Z11)</f>
        <v>887424</v>
      </c>
      <c r="AB11" s="61">
        <v>346679</v>
      </c>
      <c r="AC11" s="61">
        <v>331174</v>
      </c>
      <c r="AD11" s="61"/>
      <c r="AE11" s="61">
        <v>79307</v>
      </c>
      <c r="AF11" s="61"/>
      <c r="AG11" s="61"/>
      <c r="AH11" s="13">
        <f>SUM(AB11:AE11)</f>
        <v>757160</v>
      </c>
    </row>
    <row r="12" spans="2:34" ht="16">
      <c r="C12" s="11" t="s">
        <v>365</v>
      </c>
      <c r="D12" s="164">
        <v>5105237</v>
      </c>
      <c r="E12" s="39">
        <v>567466</v>
      </c>
      <c r="F12" s="12">
        <v>0</v>
      </c>
      <c r="G12" s="148" t="s">
        <v>17</v>
      </c>
      <c r="H12" s="148" t="s">
        <v>17</v>
      </c>
      <c r="I12" s="148" t="s">
        <v>17</v>
      </c>
      <c r="J12" s="148" t="s">
        <v>17</v>
      </c>
      <c r="K12" s="71">
        <f>SUM(D12:E12)</f>
        <v>5672703</v>
      </c>
      <c r="L12" s="12">
        <v>5340553</v>
      </c>
      <c r="M12" s="12">
        <v>622892</v>
      </c>
      <c r="N12" s="12">
        <v>0</v>
      </c>
      <c r="O12" s="148" t="s">
        <v>17</v>
      </c>
      <c r="P12" s="148" t="s">
        <v>17</v>
      </c>
      <c r="Q12" s="148" t="s">
        <v>17</v>
      </c>
      <c r="R12" s="148" t="s">
        <v>17</v>
      </c>
      <c r="S12" s="71">
        <f>SUM(L12:M12)</f>
        <v>5963445</v>
      </c>
      <c r="T12" s="61">
        <v>4333567</v>
      </c>
      <c r="U12" s="61">
        <v>491412</v>
      </c>
      <c r="V12" s="70"/>
      <c r="W12" s="61">
        <v>45808</v>
      </c>
      <c r="X12" s="61"/>
      <c r="Y12" s="61"/>
      <c r="Z12" s="61"/>
      <c r="AA12" s="13">
        <f t="shared" ref="AA12:AA14" si="0">SUM(T12:Z12)</f>
        <v>4870787</v>
      </c>
      <c r="AB12" s="61">
        <v>3071075</v>
      </c>
      <c r="AC12" s="61">
        <v>353318</v>
      </c>
      <c r="AD12" s="61"/>
      <c r="AE12" s="61">
        <v>89374</v>
      </c>
      <c r="AF12" s="61"/>
      <c r="AG12" s="61"/>
      <c r="AH12" s="13">
        <f>SUM(AB12:AE12)</f>
        <v>3513767</v>
      </c>
    </row>
    <row r="13" spans="2:34" ht="16">
      <c r="C13" s="11" t="s">
        <v>366</v>
      </c>
      <c r="D13" s="39">
        <v>14955</v>
      </c>
      <c r="E13" s="39">
        <v>22903</v>
      </c>
      <c r="F13" s="12">
        <v>0</v>
      </c>
      <c r="G13" s="148" t="s">
        <v>17</v>
      </c>
      <c r="H13" s="148" t="s">
        <v>17</v>
      </c>
      <c r="I13" s="148" t="s">
        <v>17</v>
      </c>
      <c r="J13" s="148" t="s">
        <v>17</v>
      </c>
      <c r="K13" s="71">
        <f>SUM(D13:E13)</f>
        <v>37858</v>
      </c>
      <c r="L13" s="12">
        <v>15735</v>
      </c>
      <c r="M13" s="12">
        <v>21813</v>
      </c>
      <c r="N13" s="12">
        <v>0</v>
      </c>
      <c r="O13" s="148" t="s">
        <v>17</v>
      </c>
      <c r="P13" s="148" t="s">
        <v>17</v>
      </c>
      <c r="Q13" s="148" t="s">
        <v>17</v>
      </c>
      <c r="R13" s="148" t="s">
        <v>17</v>
      </c>
      <c r="S13" s="71">
        <f>SUM(L13:M13)</f>
        <v>37548</v>
      </c>
      <c r="T13" s="61">
        <v>13317</v>
      </c>
      <c r="U13" s="61">
        <v>24652</v>
      </c>
      <c r="V13" s="70"/>
      <c r="W13" s="61">
        <v>4293</v>
      </c>
      <c r="X13" s="61"/>
      <c r="Y13" s="61"/>
      <c r="Z13" s="61"/>
      <c r="AA13" s="13">
        <f t="shared" si="0"/>
        <v>42262</v>
      </c>
      <c r="AB13" s="61">
        <v>9814</v>
      </c>
      <c r="AC13" s="61">
        <v>18963</v>
      </c>
      <c r="AD13" s="61"/>
      <c r="AE13" s="61">
        <v>8362</v>
      </c>
      <c r="AF13" s="61"/>
      <c r="AG13" s="61"/>
      <c r="AH13" s="13">
        <f>SUM(AB13:AE13)</f>
        <v>37139</v>
      </c>
    </row>
    <row r="14" spans="2:34" ht="16" customHeight="1">
      <c r="C14" s="11" t="s">
        <v>367</v>
      </c>
      <c r="D14" s="39">
        <v>6301637</v>
      </c>
      <c r="E14" s="39">
        <v>2399706</v>
      </c>
      <c r="F14" s="12">
        <v>0</v>
      </c>
      <c r="G14" s="148" t="s">
        <v>17</v>
      </c>
      <c r="H14" s="148" t="s">
        <v>17</v>
      </c>
      <c r="I14" s="148" t="s">
        <v>17</v>
      </c>
      <c r="J14" s="148" t="s">
        <v>17</v>
      </c>
      <c r="K14" s="71">
        <f>SUM(D14:E14)</f>
        <v>8701343</v>
      </c>
      <c r="L14" s="12">
        <v>6599353</v>
      </c>
      <c r="M14" s="12">
        <v>2367932</v>
      </c>
      <c r="N14" s="12">
        <v>0</v>
      </c>
      <c r="O14" s="148" t="s">
        <v>17</v>
      </c>
      <c r="P14" s="148" t="s">
        <v>17</v>
      </c>
      <c r="Q14" s="148" t="s">
        <v>17</v>
      </c>
      <c r="R14" s="148" t="s">
        <v>17</v>
      </c>
      <c r="S14" s="71">
        <f>SUM(L14:M14)</f>
        <v>8967285</v>
      </c>
      <c r="T14" s="61">
        <v>5398927</v>
      </c>
      <c r="U14" s="61">
        <v>2463572</v>
      </c>
      <c r="V14" s="70"/>
      <c r="W14" s="61">
        <v>389248</v>
      </c>
      <c r="X14" s="61"/>
      <c r="Y14" s="61"/>
      <c r="Z14" s="61"/>
      <c r="AA14" s="13">
        <f t="shared" si="0"/>
        <v>8251747</v>
      </c>
      <c r="AB14" s="61">
        <v>3856195</v>
      </c>
      <c r="AC14" s="61">
        <v>1870358</v>
      </c>
      <c r="AD14" s="61"/>
      <c r="AE14" s="61">
        <v>758334</v>
      </c>
      <c r="AF14" s="61"/>
      <c r="AG14" s="61"/>
      <c r="AH14" s="13">
        <f>SUM(AB14:AE14)</f>
        <v>6484887</v>
      </c>
    </row>
    <row r="15" spans="2:34" ht="16" customHeight="1" thickBot="1">
      <c r="B15" s="27"/>
      <c r="C15" s="28"/>
      <c r="D15" s="29"/>
      <c r="E15" s="29"/>
      <c r="F15" s="29"/>
      <c r="G15" s="29"/>
      <c r="H15" s="29"/>
      <c r="I15" s="29"/>
      <c r="J15" s="30"/>
      <c r="K15" s="29"/>
      <c r="L15" s="29"/>
      <c r="M15" s="29"/>
      <c r="N15" s="29"/>
      <c r="O15" s="29"/>
      <c r="P15" s="29"/>
      <c r="Q15" s="29"/>
      <c r="R15" s="30"/>
      <c r="S15" s="29"/>
      <c r="T15" s="29"/>
      <c r="U15" s="29"/>
      <c r="V15" s="29"/>
      <c r="W15" s="29"/>
      <c r="X15" s="29"/>
      <c r="Y15" s="29"/>
      <c r="Z15" s="29"/>
      <c r="AA15" s="29"/>
      <c r="AB15" s="29"/>
      <c r="AC15" s="29"/>
      <c r="AD15" s="29"/>
      <c r="AE15" s="29"/>
      <c r="AF15" s="29"/>
      <c r="AG15" s="29"/>
      <c r="AH15" s="29"/>
    </row>
    <row r="16" spans="2:34">
      <c r="B16" s="10" t="s">
        <v>369</v>
      </c>
      <c r="C16" s="11"/>
      <c r="X16" s="2"/>
      <c r="AH16" s="2"/>
    </row>
    <row r="17" spans="2:35" ht="16">
      <c r="C17" s="11" t="s">
        <v>370</v>
      </c>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row>
    <row r="18" spans="2:35" ht="16">
      <c r="C18" s="149" t="s">
        <v>371</v>
      </c>
      <c r="D18" s="70">
        <v>150552.38175473636</v>
      </c>
      <c r="E18" s="70">
        <v>55279.930722503763</v>
      </c>
      <c r="F18" s="70">
        <v>0</v>
      </c>
      <c r="G18" s="70">
        <v>0</v>
      </c>
      <c r="H18" s="70">
        <v>0</v>
      </c>
      <c r="I18" s="70">
        <v>0</v>
      </c>
      <c r="J18" s="70"/>
      <c r="K18" s="71">
        <f t="shared" ref="K18" si="1">SUM(D18:J18)</f>
        <v>205832.31247724011</v>
      </c>
      <c r="L18" s="70">
        <v>154786.73137780401</v>
      </c>
      <c r="M18" s="70">
        <v>56741.504889559903</v>
      </c>
      <c r="N18" s="70">
        <v>0</v>
      </c>
      <c r="O18" s="70">
        <v>0</v>
      </c>
      <c r="P18" s="70">
        <v>0</v>
      </c>
      <c r="Q18" s="70">
        <v>0</v>
      </c>
      <c r="R18" s="70">
        <v>0</v>
      </c>
      <c r="S18" s="71">
        <f t="shared" ref="S18:S30" si="2">SUM(L18:R18)</f>
        <v>211528.23626736391</v>
      </c>
      <c r="T18" s="70">
        <v>108471.17444950109</v>
      </c>
      <c r="U18" s="70">
        <v>35610.709038702218</v>
      </c>
      <c r="V18" s="70">
        <v>0</v>
      </c>
      <c r="W18" s="70">
        <v>10021.507077940112</v>
      </c>
      <c r="X18" s="70">
        <v>0</v>
      </c>
      <c r="Y18" s="70">
        <v>0</v>
      </c>
      <c r="Z18" s="70">
        <v>0</v>
      </c>
      <c r="AA18" s="71">
        <f>SUM(T18:Z18)</f>
        <v>154103.39056614341</v>
      </c>
      <c r="AB18" s="70">
        <v>82959</v>
      </c>
      <c r="AC18" s="70">
        <v>40048</v>
      </c>
      <c r="AD18" s="70">
        <v>0</v>
      </c>
      <c r="AE18" s="70">
        <v>15454</v>
      </c>
      <c r="AF18" s="70">
        <v>0</v>
      </c>
      <c r="AG18" s="70"/>
      <c r="AH18" s="13">
        <f>SUM(AB18:AG18)</f>
        <v>138461</v>
      </c>
    </row>
    <row r="19" spans="2:35" ht="16">
      <c r="C19" s="11" t="s">
        <v>372</v>
      </c>
      <c r="D19" s="70">
        <v>0</v>
      </c>
      <c r="E19" s="70">
        <v>0</v>
      </c>
      <c r="F19" s="70">
        <v>0</v>
      </c>
      <c r="G19" s="70">
        <v>0</v>
      </c>
      <c r="H19" s="70">
        <v>0</v>
      </c>
      <c r="I19" s="70">
        <v>0</v>
      </c>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row>
    <row r="20" spans="2:35" ht="16">
      <c r="C20" s="149" t="s">
        <v>373</v>
      </c>
      <c r="D20" s="70">
        <v>84571.489145071435</v>
      </c>
      <c r="E20" s="70">
        <v>27702.718128214456</v>
      </c>
      <c r="F20" s="70">
        <v>120.26836030829999</v>
      </c>
      <c r="G20" s="70">
        <v>0</v>
      </c>
      <c r="H20" s="70">
        <v>0</v>
      </c>
      <c r="I20" s="70">
        <v>0</v>
      </c>
      <c r="J20" s="70"/>
      <c r="K20" s="71">
        <f t="shared" ref="K20:K30" si="3">SUM(D20:J20)</f>
        <v>112394.47563359419</v>
      </c>
      <c r="L20" s="70">
        <v>78164.767497929206</v>
      </c>
      <c r="M20" s="70">
        <v>30399.3084800865</v>
      </c>
      <c r="N20" s="70">
        <v>350.32908140069998</v>
      </c>
      <c r="O20" s="70">
        <v>0</v>
      </c>
      <c r="P20" s="70">
        <v>0</v>
      </c>
      <c r="Q20" s="70">
        <v>0</v>
      </c>
      <c r="R20" s="70">
        <v>0</v>
      </c>
      <c r="S20" s="71">
        <f t="shared" si="2"/>
        <v>108914.40505941641</v>
      </c>
      <c r="T20" s="70">
        <v>49638.88823738692</v>
      </c>
      <c r="U20" s="70">
        <v>19768.847612948</v>
      </c>
      <c r="V20" s="70">
        <v>838.08348478536846</v>
      </c>
      <c r="W20" s="70">
        <v>9381.0789362788928</v>
      </c>
      <c r="X20" s="70">
        <v>0</v>
      </c>
      <c r="Y20" s="70">
        <v>0</v>
      </c>
      <c r="Z20" s="70">
        <v>0</v>
      </c>
      <c r="AA20" s="71">
        <f t="shared" ref="AA20:AA30" si="4">SUM(T20:Z20)</f>
        <v>79626.898271399186</v>
      </c>
      <c r="AB20" s="70">
        <v>40308.167404761909</v>
      </c>
      <c r="AC20" s="70">
        <v>15956.638588095249</v>
      </c>
      <c r="AD20" s="70">
        <v>1646.1121452380949</v>
      </c>
      <c r="AE20" s="70">
        <v>15258.725376190469</v>
      </c>
      <c r="AF20" s="70">
        <v>0</v>
      </c>
      <c r="AG20" s="70"/>
      <c r="AH20" s="13">
        <f t="shared" ref="AH20:AH28" si="5">SUM(AB20:AG20)</f>
        <v>73169.643514285723</v>
      </c>
    </row>
    <row r="21" spans="2:35" ht="16">
      <c r="C21" s="149" t="s">
        <v>374</v>
      </c>
      <c r="D21" s="70">
        <v>16839.445685447987</v>
      </c>
      <c r="E21" s="70">
        <v>15631.47538401931</v>
      </c>
      <c r="F21" s="70">
        <v>0</v>
      </c>
      <c r="G21" s="70">
        <v>5839.6843558907876</v>
      </c>
      <c r="H21" s="70">
        <v>203.61408638395204</v>
      </c>
      <c r="I21" s="70">
        <v>755.40839627288426</v>
      </c>
      <c r="J21" s="70">
        <f>3214+4131-1327</f>
        <v>6018</v>
      </c>
      <c r="K21" s="71">
        <f t="shared" si="3"/>
        <v>45287.627908014918</v>
      </c>
      <c r="L21" s="70">
        <v>16543.433434297302</v>
      </c>
      <c r="M21" s="70">
        <v>14652.112615068099</v>
      </c>
      <c r="N21" s="70">
        <v>0</v>
      </c>
      <c r="O21" s="70">
        <v>3163.7824698792001</v>
      </c>
      <c r="P21" s="70">
        <v>418.54088629879999</v>
      </c>
      <c r="Q21" s="70">
        <v>258.28556495070001</v>
      </c>
      <c r="R21" s="70">
        <v>6047</v>
      </c>
      <c r="S21" s="71">
        <f t="shared" si="2"/>
        <v>41083.154970494099</v>
      </c>
      <c r="T21" s="70">
        <v>12968.585327005982</v>
      </c>
      <c r="U21" s="70">
        <v>10202.100437295594</v>
      </c>
      <c r="V21" s="70">
        <v>202.79128272134861</v>
      </c>
      <c r="W21" s="70">
        <v>3298.2492516544253</v>
      </c>
      <c r="X21" s="70">
        <v>886.10885230228359</v>
      </c>
      <c r="Y21" s="70">
        <v>999.01259673264394</v>
      </c>
      <c r="Z21" s="70">
        <v>6139</v>
      </c>
      <c r="AA21" s="71">
        <f t="shared" si="4"/>
        <v>34695.84774771228</v>
      </c>
      <c r="AB21" s="70">
        <v>9337.2449814285719</v>
      </c>
      <c r="AC21" s="70">
        <v>8036.0252628571398</v>
      </c>
      <c r="AD21" s="70">
        <v>774.32667285714263</v>
      </c>
      <c r="AE21" s="70">
        <v>3560.2761790476188</v>
      </c>
      <c r="AF21" s="70">
        <v>999.08623333333321</v>
      </c>
      <c r="AG21" s="70">
        <v>9738</v>
      </c>
      <c r="AH21" s="13">
        <f t="shared" si="5"/>
        <v>32444.959329523805</v>
      </c>
    </row>
    <row r="22" spans="2:35" ht="16">
      <c r="C22" s="149" t="s">
        <v>375</v>
      </c>
      <c r="D22" s="70">
        <v>0</v>
      </c>
      <c r="E22" s="70">
        <v>0</v>
      </c>
      <c r="F22" s="70">
        <v>0</v>
      </c>
      <c r="G22" s="70">
        <v>0</v>
      </c>
      <c r="H22" s="70">
        <v>0</v>
      </c>
      <c r="I22" s="70">
        <v>0</v>
      </c>
      <c r="J22" s="70">
        <f>5991+342+822</f>
        <v>7155</v>
      </c>
      <c r="K22" s="71">
        <f t="shared" si="3"/>
        <v>7155</v>
      </c>
      <c r="L22" s="70"/>
      <c r="M22" s="70"/>
      <c r="N22" s="70"/>
      <c r="O22" s="70"/>
      <c r="P22" s="70"/>
      <c r="Q22" s="70"/>
      <c r="R22" s="70">
        <v>6063</v>
      </c>
      <c r="S22" s="71">
        <f t="shared" si="2"/>
        <v>6063</v>
      </c>
      <c r="T22" s="70">
        <v>0</v>
      </c>
      <c r="U22" s="70">
        <v>0</v>
      </c>
      <c r="V22" s="70">
        <v>0</v>
      </c>
      <c r="W22" s="70">
        <v>0</v>
      </c>
      <c r="X22" s="70">
        <v>0</v>
      </c>
      <c r="Y22" s="70">
        <v>0</v>
      </c>
      <c r="Z22" s="70">
        <v>4410</v>
      </c>
      <c r="AA22" s="71">
        <f t="shared" si="4"/>
        <v>4410</v>
      </c>
      <c r="AB22" s="70">
        <v>0</v>
      </c>
      <c r="AC22" s="70">
        <v>0</v>
      </c>
      <c r="AD22" s="70">
        <v>0</v>
      </c>
      <c r="AE22" s="70">
        <v>0</v>
      </c>
      <c r="AF22" s="70">
        <v>0</v>
      </c>
      <c r="AG22" s="70">
        <v>4330</v>
      </c>
      <c r="AH22" s="13">
        <f t="shared" si="5"/>
        <v>4330</v>
      </c>
    </row>
    <row r="23" spans="2:35" ht="16">
      <c r="C23" s="149" t="s">
        <v>376</v>
      </c>
      <c r="D23" s="70">
        <v>7685.9698054631999</v>
      </c>
      <c r="E23" s="70">
        <v>2219.8857872592002</v>
      </c>
      <c r="F23" s="70">
        <v>28.401489654000002</v>
      </c>
      <c r="G23" s="70">
        <v>1458.5104070963998</v>
      </c>
      <c r="H23" s="70">
        <v>2339.9125693751998</v>
      </c>
      <c r="I23" s="70">
        <v>254.81880528239998</v>
      </c>
      <c r="J23" s="70"/>
      <c r="K23" s="71">
        <f t="shared" si="3"/>
        <v>13987.498864130401</v>
      </c>
      <c r="L23" s="70">
        <v>9308.0172613699997</v>
      </c>
      <c r="M23" s="70">
        <v>324.72242856999998</v>
      </c>
      <c r="N23" s="70">
        <v>28.056969779999999</v>
      </c>
      <c r="O23" s="70">
        <v>182.79584317999999</v>
      </c>
      <c r="P23" s="70">
        <v>241.3650523</v>
      </c>
      <c r="Q23" s="70">
        <v>46.490438609999998</v>
      </c>
      <c r="R23" s="70">
        <v>0</v>
      </c>
      <c r="S23" s="71">
        <f t="shared" si="2"/>
        <v>10131.447993809999</v>
      </c>
      <c r="T23" s="70">
        <v>1801.7390351024465</v>
      </c>
      <c r="U23" s="70">
        <v>2098.360558903149</v>
      </c>
      <c r="V23" s="70">
        <v>327.96143938940997</v>
      </c>
      <c r="W23" s="70">
        <v>686.50305951698886</v>
      </c>
      <c r="X23" s="70">
        <v>443.09304120587001</v>
      </c>
      <c r="Y23" s="70">
        <v>65.178390148271575</v>
      </c>
      <c r="Z23" s="70">
        <v>0</v>
      </c>
      <c r="AA23" s="71">
        <f t="shared" si="4"/>
        <v>5422.8355242661355</v>
      </c>
      <c r="AB23" s="70">
        <v>1785.0250376642857</v>
      </c>
      <c r="AC23" s="70">
        <v>1370.0366410214283</v>
      </c>
      <c r="AD23" s="70">
        <v>456.35214285714284</v>
      </c>
      <c r="AE23" s="70">
        <v>629.71835028809517</v>
      </c>
      <c r="AF23" s="70">
        <v>504.97624855425823</v>
      </c>
      <c r="AG23" s="70"/>
      <c r="AH23" s="13">
        <f t="shared" si="5"/>
        <v>4746.1084203852097</v>
      </c>
    </row>
    <row r="24" spans="2:35" ht="16">
      <c r="C24" s="149" t="s">
        <v>377</v>
      </c>
      <c r="D24" s="70">
        <v>0</v>
      </c>
      <c r="E24" s="70">
        <v>0</v>
      </c>
      <c r="F24" s="70">
        <v>0</v>
      </c>
      <c r="G24" s="70">
        <v>0</v>
      </c>
      <c r="H24" s="70">
        <v>0</v>
      </c>
      <c r="I24" s="70">
        <v>0</v>
      </c>
      <c r="J24" s="70"/>
      <c r="K24" s="71">
        <f t="shared" si="3"/>
        <v>0</v>
      </c>
      <c r="L24" s="70">
        <v>0</v>
      </c>
      <c r="M24" s="70">
        <v>0</v>
      </c>
      <c r="N24" s="70">
        <v>0</v>
      </c>
      <c r="O24" s="70">
        <v>0</v>
      </c>
      <c r="P24" s="70">
        <v>0</v>
      </c>
      <c r="Q24" s="70">
        <v>0</v>
      </c>
      <c r="R24" s="70">
        <v>0</v>
      </c>
      <c r="S24" s="71">
        <f t="shared" si="2"/>
        <v>0</v>
      </c>
      <c r="T24" s="70"/>
      <c r="U24" s="70"/>
      <c r="V24" s="70"/>
      <c r="W24" s="70"/>
      <c r="X24" s="70"/>
      <c r="Y24" s="70"/>
      <c r="Z24" s="70">
        <v>0</v>
      </c>
      <c r="AA24" s="71">
        <f t="shared" si="4"/>
        <v>0</v>
      </c>
      <c r="AB24" s="70">
        <v>0</v>
      </c>
      <c r="AC24" s="70">
        <v>0</v>
      </c>
      <c r="AD24" s="70">
        <v>0</v>
      </c>
      <c r="AE24" s="70">
        <v>0</v>
      </c>
      <c r="AF24" s="70">
        <v>0</v>
      </c>
      <c r="AG24" s="70"/>
      <c r="AH24" s="13">
        <f t="shared" si="5"/>
        <v>0</v>
      </c>
    </row>
    <row r="25" spans="2:35" ht="32">
      <c r="C25" s="149" t="s">
        <v>378</v>
      </c>
      <c r="D25" s="70">
        <v>3490.9157283963718</v>
      </c>
      <c r="E25" s="70">
        <v>3086.446684243956</v>
      </c>
      <c r="F25" s="70">
        <v>0</v>
      </c>
      <c r="G25" s="70">
        <v>737.05867504462799</v>
      </c>
      <c r="H25" s="70">
        <v>21.852648762876001</v>
      </c>
      <c r="I25" s="70">
        <v>175.86152381892001</v>
      </c>
      <c r="J25" s="70"/>
      <c r="K25" s="71">
        <f t="shared" si="3"/>
        <v>7512.135260266753</v>
      </c>
      <c r="L25" s="70">
        <v>2392.0452195696998</v>
      </c>
      <c r="M25" s="70">
        <v>2548.2938316179998</v>
      </c>
      <c r="N25" s="70">
        <v>0</v>
      </c>
      <c r="O25" s="70">
        <v>391.31374113679999</v>
      </c>
      <c r="P25" s="70">
        <v>22.5761787392</v>
      </c>
      <c r="Q25" s="70">
        <v>62.0476674624</v>
      </c>
      <c r="R25" s="70">
        <v>0</v>
      </c>
      <c r="S25" s="71">
        <f t="shared" si="2"/>
        <v>5416.2766385260993</v>
      </c>
      <c r="T25" s="70">
        <v>2512.6940339135208</v>
      </c>
      <c r="U25" s="70">
        <v>2162.5583771871939</v>
      </c>
      <c r="V25" s="70">
        <v>6.4492888058187656</v>
      </c>
      <c r="W25" s="70">
        <v>578.9844280791209</v>
      </c>
      <c r="X25" s="70">
        <v>152.76964854775414</v>
      </c>
      <c r="Y25" s="70">
        <v>147.63994275999121</v>
      </c>
      <c r="Z25" s="70"/>
      <c r="AA25" s="71">
        <f t="shared" si="4"/>
        <v>5561.0957192934002</v>
      </c>
      <c r="AB25" s="70">
        <v>1897.640399047619</v>
      </c>
      <c r="AC25" s="70">
        <v>1604.9813438095241</v>
      </c>
      <c r="AD25" s="70">
        <v>46.013263333333327</v>
      </c>
      <c r="AE25" s="70">
        <v>685.22209095238077</v>
      </c>
      <c r="AF25" s="70">
        <v>202.20688000000001</v>
      </c>
      <c r="AG25" s="70"/>
      <c r="AH25" s="13">
        <f t="shared" si="5"/>
        <v>4436.0639771428569</v>
      </c>
    </row>
    <row r="26" spans="2:35" ht="32">
      <c r="C26" s="149" t="s">
        <v>379</v>
      </c>
      <c r="D26" s="70">
        <v>0</v>
      </c>
      <c r="E26" s="70">
        <v>0</v>
      </c>
      <c r="F26" s="70">
        <v>0</v>
      </c>
      <c r="G26" s="70">
        <v>0</v>
      </c>
      <c r="H26" s="70"/>
      <c r="I26" s="70">
        <v>0</v>
      </c>
      <c r="J26" s="70">
        <f>(120795.85*0.741034)/1000</f>
        <v>89.513831908900002</v>
      </c>
      <c r="K26" s="71">
        <f t="shared" si="3"/>
        <v>89.513831908900002</v>
      </c>
      <c r="L26" s="70">
        <v>0</v>
      </c>
      <c r="M26" s="70">
        <v>0</v>
      </c>
      <c r="N26" s="70">
        <v>0</v>
      </c>
      <c r="O26" s="70">
        <v>0</v>
      </c>
      <c r="P26" s="70">
        <v>0</v>
      </c>
      <c r="Q26" s="70">
        <v>0</v>
      </c>
      <c r="R26" s="70">
        <v>83.503456636400003</v>
      </c>
      <c r="S26" s="71">
        <f t="shared" si="2"/>
        <v>83.503456636400003</v>
      </c>
      <c r="T26" s="70"/>
      <c r="U26" s="70"/>
      <c r="V26" s="70"/>
      <c r="W26" s="70"/>
      <c r="X26" s="70"/>
      <c r="Y26" s="70"/>
      <c r="Z26" s="70">
        <v>77</v>
      </c>
      <c r="AA26" s="71">
        <f t="shared" si="4"/>
        <v>77</v>
      </c>
      <c r="AB26" s="70">
        <v>0</v>
      </c>
      <c r="AC26" s="70">
        <v>0</v>
      </c>
      <c r="AD26" s="70">
        <v>0</v>
      </c>
      <c r="AE26" s="70">
        <v>0</v>
      </c>
      <c r="AF26" s="70">
        <v>0</v>
      </c>
      <c r="AG26" s="70">
        <v>65</v>
      </c>
      <c r="AH26" s="13">
        <f t="shared" si="5"/>
        <v>65</v>
      </c>
    </row>
    <row r="27" spans="2:35" ht="16">
      <c r="C27" s="149" t="s">
        <v>380</v>
      </c>
      <c r="D27" s="70">
        <v>351.92915804782803</v>
      </c>
      <c r="E27" s="70">
        <v>102.788382663804</v>
      </c>
      <c r="F27" s="70">
        <v>0</v>
      </c>
      <c r="G27" s="70">
        <v>3505.4780000000001</v>
      </c>
      <c r="H27" s="70">
        <v>382.19600000000003</v>
      </c>
      <c r="I27" s="70">
        <v>149.852</v>
      </c>
      <c r="J27" s="70"/>
      <c r="K27" s="71">
        <f t="shared" si="3"/>
        <v>4492.2435407116318</v>
      </c>
      <c r="L27" s="70">
        <v>396.21622548869999</v>
      </c>
      <c r="M27" s="70">
        <v>38.387602486600002</v>
      </c>
      <c r="N27" s="70">
        <v>0</v>
      </c>
      <c r="O27" s="70">
        <v>4.9961244499999999</v>
      </c>
      <c r="P27" s="70">
        <v>60.242027357300003</v>
      </c>
      <c r="Q27" s="70">
        <v>0</v>
      </c>
      <c r="R27" s="70">
        <v>0</v>
      </c>
      <c r="S27" s="71">
        <f t="shared" si="2"/>
        <v>499.84197978259999</v>
      </c>
      <c r="T27" s="70">
        <v>236.06409440844311</v>
      </c>
      <c r="U27" s="70">
        <v>39.847876214640003</v>
      </c>
      <c r="V27" s="70">
        <v>0</v>
      </c>
      <c r="W27" s="70">
        <v>51.048028950120681</v>
      </c>
      <c r="X27" s="70">
        <v>225.10278044467935</v>
      </c>
      <c r="Y27" s="70">
        <v>16.447596807047049</v>
      </c>
      <c r="Z27" s="70">
        <v>0</v>
      </c>
      <c r="AA27" s="71">
        <f t="shared" si="4"/>
        <v>568.51037682493018</v>
      </c>
      <c r="AB27" s="70">
        <v>148.89629904761901</v>
      </c>
      <c r="AC27" s="70">
        <v>161.49703857142853</v>
      </c>
      <c r="AD27" s="70">
        <v>38.104630952380944</v>
      </c>
      <c r="AE27" s="70">
        <v>57.547823333333334</v>
      </c>
      <c r="AF27" s="70">
        <v>144.4971680952381</v>
      </c>
      <c r="AG27" s="70"/>
      <c r="AH27" s="13">
        <f t="shared" si="5"/>
        <v>550.54295999999988</v>
      </c>
    </row>
    <row r="28" spans="2:35" ht="16">
      <c r="C28" s="149" t="s">
        <v>381</v>
      </c>
      <c r="D28" s="70">
        <v>482.75080982625599</v>
      </c>
      <c r="E28" s="70">
        <v>123.07754255921999</v>
      </c>
      <c r="F28" s="70">
        <v>0</v>
      </c>
      <c r="G28" s="70">
        <v>165.95855085137998</v>
      </c>
      <c r="H28" s="70">
        <v>43.836584880000004</v>
      </c>
      <c r="I28" s="70">
        <v>0</v>
      </c>
      <c r="J28" s="70">
        <f>'[1]Relaciones comunitarias'!H15*C76/1000</f>
        <v>0</v>
      </c>
      <c r="K28" s="71">
        <f t="shared" si="3"/>
        <v>815.62348811685604</v>
      </c>
      <c r="L28" s="70">
        <f>'[1]Relaciones comunitarias'!J15</f>
        <v>220861.57222</v>
      </c>
      <c r="M28" s="70">
        <f>'[1]Relaciones comunitarias'!K15</f>
        <v>99784.935819999999</v>
      </c>
      <c r="N28" s="70">
        <f>'[1]Relaciones comunitarias'!L15</f>
        <v>19713.717949999998</v>
      </c>
      <c r="O28" s="70">
        <f>'[1]Relaciones comunitarias'!M15</f>
        <v>23322.375400000001</v>
      </c>
      <c r="P28" s="70">
        <f>'[1]Relaciones comunitarias'!N15</f>
        <v>69484.989091356052</v>
      </c>
      <c r="Q28" s="70">
        <v>0</v>
      </c>
      <c r="R28" s="70">
        <v>0</v>
      </c>
      <c r="S28" s="71">
        <f>SUM(L28:R28)/1000</f>
        <v>433.16759048135606</v>
      </c>
      <c r="T28" s="70">
        <v>171.10310398199999</v>
      </c>
      <c r="U28" s="70">
        <v>43.293462237461704</v>
      </c>
      <c r="V28" s="70">
        <v>0</v>
      </c>
      <c r="W28" s="70">
        <v>0</v>
      </c>
      <c r="X28" s="70">
        <v>6.6740801569848003</v>
      </c>
      <c r="Y28" s="70">
        <v>33.268753648452609</v>
      </c>
      <c r="Z28" s="70">
        <v>48.551228346456696</v>
      </c>
      <c r="AA28" s="71">
        <f t="shared" si="4"/>
        <v>302.89062837135583</v>
      </c>
      <c r="AB28" s="70">
        <v>65.036994225000001</v>
      </c>
      <c r="AC28" s="70">
        <v>72.195095575319996</v>
      </c>
      <c r="AD28" s="70">
        <v>3.8458900749999998</v>
      </c>
      <c r="AE28" s="70">
        <v>2.2985173049999998</v>
      </c>
      <c r="AF28" s="70">
        <v>49.304437997719994</v>
      </c>
      <c r="AG28" s="70">
        <v>14.047037999999999</v>
      </c>
      <c r="AH28" s="13">
        <f t="shared" si="5"/>
        <v>206.72797317803997</v>
      </c>
    </row>
    <row r="29" spans="2:35" s="15" customFormat="1" ht="16">
      <c r="C29" s="16" t="s">
        <v>382</v>
      </c>
      <c r="D29" s="106">
        <f>SUM(D20:D28)</f>
        <v>113422.5003322531</v>
      </c>
      <c r="E29" s="106">
        <f>SUM(E20:E28)</f>
        <v>48866.391908959951</v>
      </c>
      <c r="F29" s="106">
        <f t="shared" ref="F29:J29" si="6">SUM(F20:F28)</f>
        <v>148.66984996229999</v>
      </c>
      <c r="G29" s="106">
        <f t="shared" si="6"/>
        <v>11706.689988883196</v>
      </c>
      <c r="H29" s="106">
        <f>SUM(H20:H28)</f>
        <v>2991.4118894020276</v>
      </c>
      <c r="I29" s="106">
        <f t="shared" si="6"/>
        <v>1335.9407253742042</v>
      </c>
      <c r="J29" s="106">
        <f t="shared" si="6"/>
        <v>13262.5138319089</v>
      </c>
      <c r="K29" s="108">
        <f t="shared" si="3"/>
        <v>191734.11852674367</v>
      </c>
      <c r="L29" s="106">
        <f>SUM(L20:L28)</f>
        <v>327666.05185865489</v>
      </c>
      <c r="M29" s="106">
        <f t="shared" ref="M29:AH29" si="7">SUM(M20:M28)</f>
        <v>147747.76077782919</v>
      </c>
      <c r="N29" s="106">
        <f t="shared" si="7"/>
        <v>20092.104001180698</v>
      </c>
      <c r="O29" s="106">
        <f t="shared" si="7"/>
        <v>27065.263578646001</v>
      </c>
      <c r="P29" s="106">
        <f t="shared" si="7"/>
        <v>70227.71323605135</v>
      </c>
      <c r="Q29" s="106">
        <f t="shared" si="7"/>
        <v>366.82367102310002</v>
      </c>
      <c r="R29" s="106">
        <f t="shared" si="7"/>
        <v>12193.503456636399</v>
      </c>
      <c r="S29" s="108">
        <f t="shared" si="2"/>
        <v>605359.22058002162</v>
      </c>
      <c r="T29" s="106">
        <f t="shared" si="7"/>
        <v>67329.073831799309</v>
      </c>
      <c r="U29" s="106">
        <f t="shared" si="7"/>
        <v>34315.008324786038</v>
      </c>
      <c r="V29" s="106">
        <f t="shared" si="7"/>
        <v>1375.2854957019456</v>
      </c>
      <c r="W29" s="106">
        <f t="shared" si="7"/>
        <v>13995.863704479549</v>
      </c>
      <c r="X29" s="106">
        <f t="shared" si="7"/>
        <v>1713.7484026575719</v>
      </c>
      <c r="Y29" s="106">
        <f t="shared" si="7"/>
        <v>1261.5472800964064</v>
      </c>
      <c r="Z29" s="106">
        <f t="shared" si="7"/>
        <v>10674.551228346456</v>
      </c>
      <c r="AA29" s="108">
        <f t="shared" si="4"/>
        <v>130665.07826786727</v>
      </c>
      <c r="AB29" s="106">
        <f t="shared" si="7"/>
        <v>53542.01111617501</v>
      </c>
      <c r="AC29" s="106">
        <f t="shared" si="7"/>
        <v>27201.37396993009</v>
      </c>
      <c r="AD29" s="106">
        <f t="shared" si="7"/>
        <v>2964.7547453130946</v>
      </c>
      <c r="AE29" s="106">
        <f t="shared" si="7"/>
        <v>20193.788337116897</v>
      </c>
      <c r="AF29" s="106">
        <f t="shared" si="7"/>
        <v>1900.0709679805495</v>
      </c>
      <c r="AG29" s="106">
        <f t="shared" si="7"/>
        <v>14147.047038000001</v>
      </c>
      <c r="AH29" s="107">
        <f t="shared" si="7"/>
        <v>119949.04617451564</v>
      </c>
    </row>
    <row r="30" spans="2:35" s="15" customFormat="1" ht="16">
      <c r="C30" s="16" t="s">
        <v>383</v>
      </c>
      <c r="D30" s="106">
        <f>+D18-D29</f>
        <v>37129.88142248326</v>
      </c>
      <c r="E30" s="106">
        <f>+E18-E29</f>
        <v>6413.5388135438116</v>
      </c>
      <c r="F30" s="106">
        <f t="shared" ref="F30:J30" si="8">+F18-F29</f>
        <v>-148.66984996229999</v>
      </c>
      <c r="G30" s="106">
        <f t="shared" si="8"/>
        <v>-11706.689988883196</v>
      </c>
      <c r="H30" s="106">
        <f>+H18-H29</f>
        <v>-2991.4118894020276</v>
      </c>
      <c r="I30" s="106">
        <f t="shared" si="8"/>
        <v>-1335.9407253742042</v>
      </c>
      <c r="J30" s="106">
        <f t="shared" si="8"/>
        <v>-13262.5138319089</v>
      </c>
      <c r="K30" s="108">
        <f t="shared" si="3"/>
        <v>14098.193950496441</v>
      </c>
      <c r="L30" s="106">
        <f>+L18-L29</f>
        <v>-172879.32048085087</v>
      </c>
      <c r="M30" s="106">
        <f t="shared" ref="M30:AH30" si="9">+M18-M29</f>
        <v>-91006.255888269283</v>
      </c>
      <c r="N30" s="106">
        <f t="shared" si="9"/>
        <v>-20092.104001180698</v>
      </c>
      <c r="O30" s="106">
        <f t="shared" si="9"/>
        <v>-27065.263578646001</v>
      </c>
      <c r="P30" s="106">
        <f t="shared" si="9"/>
        <v>-70227.71323605135</v>
      </c>
      <c r="Q30" s="106">
        <f t="shared" si="9"/>
        <v>-366.82367102310002</v>
      </c>
      <c r="R30" s="106">
        <f t="shared" si="9"/>
        <v>-12193.503456636399</v>
      </c>
      <c r="S30" s="108">
        <f t="shared" si="2"/>
        <v>-393830.98431265767</v>
      </c>
      <c r="T30" s="106">
        <f t="shared" si="9"/>
        <v>41142.100617701784</v>
      </c>
      <c r="U30" s="106">
        <f t="shared" si="9"/>
        <v>1295.7007139161797</v>
      </c>
      <c r="V30" s="106">
        <f t="shared" si="9"/>
        <v>-1375.2854957019456</v>
      </c>
      <c r="W30" s="106">
        <f t="shared" si="9"/>
        <v>-3974.3566265394365</v>
      </c>
      <c r="X30" s="106">
        <f t="shared" si="9"/>
        <v>-1713.7484026575719</v>
      </c>
      <c r="Y30" s="106">
        <f t="shared" si="9"/>
        <v>-1261.5472800964064</v>
      </c>
      <c r="Z30" s="106">
        <f t="shared" si="9"/>
        <v>-10674.551228346456</v>
      </c>
      <c r="AA30" s="108">
        <f t="shared" si="4"/>
        <v>23438.312298276149</v>
      </c>
      <c r="AB30" s="106">
        <f t="shared" si="9"/>
        <v>29416.98888382499</v>
      </c>
      <c r="AC30" s="106">
        <f t="shared" si="9"/>
        <v>12846.62603006991</v>
      </c>
      <c r="AD30" s="106">
        <f t="shared" si="9"/>
        <v>-2964.7547453130946</v>
      </c>
      <c r="AE30" s="106">
        <f t="shared" si="9"/>
        <v>-4739.7883371168973</v>
      </c>
      <c r="AF30" s="106">
        <f t="shared" si="9"/>
        <v>-1900.0709679805495</v>
      </c>
      <c r="AG30" s="106">
        <f t="shared" si="9"/>
        <v>-14147.047038000001</v>
      </c>
      <c r="AH30" s="107">
        <f t="shared" si="9"/>
        <v>18511.953825484365</v>
      </c>
    </row>
    <row r="31" spans="2:35" s="9" customFormat="1">
      <c r="B31" s="150" t="s">
        <v>384</v>
      </c>
      <c r="C31" s="126"/>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row>
    <row r="32" spans="2:35" ht="16" customHeight="1" thickBot="1">
      <c r="B32" s="27"/>
      <c r="C32" s="28"/>
      <c r="D32" s="29"/>
      <c r="E32" s="29"/>
      <c r="F32" s="29"/>
      <c r="G32" s="29"/>
      <c r="H32" s="29"/>
      <c r="I32" s="29"/>
      <c r="J32" s="30"/>
      <c r="K32" s="152">
        <f>K28+S28</f>
        <v>1248.7910785982122</v>
      </c>
      <c r="L32" s="29"/>
      <c r="M32" s="29"/>
      <c r="N32" s="29"/>
      <c r="O32" s="29"/>
      <c r="P32" s="29"/>
      <c r="Q32" s="29"/>
      <c r="R32" s="30"/>
      <c r="S32" s="29"/>
      <c r="T32" s="29"/>
      <c r="U32" s="29"/>
      <c r="V32" s="29"/>
      <c r="W32" s="29"/>
      <c r="X32" s="29"/>
      <c r="Y32" s="29"/>
      <c r="Z32" s="29"/>
      <c r="AA32" s="29"/>
      <c r="AB32" s="29"/>
      <c r="AC32" s="29"/>
      <c r="AD32" s="29"/>
      <c r="AE32" s="29"/>
      <c r="AF32" s="29"/>
      <c r="AG32" s="29"/>
      <c r="AH32" s="29"/>
    </row>
    <row r="33" spans="2:35">
      <c r="B33" s="10" t="s">
        <v>385</v>
      </c>
      <c r="C33" s="11"/>
      <c r="X33" s="2"/>
      <c r="AH33" s="2"/>
    </row>
    <row r="34" spans="2:35" ht="16">
      <c r="C34" s="11" t="s">
        <v>386</v>
      </c>
      <c r="D34" s="70">
        <v>1</v>
      </c>
      <c r="E34" s="70">
        <v>1</v>
      </c>
      <c r="F34" s="153">
        <v>0</v>
      </c>
      <c r="G34" s="70">
        <v>1</v>
      </c>
      <c r="H34" s="154" t="s">
        <v>16</v>
      </c>
      <c r="I34" s="70">
        <v>1</v>
      </c>
      <c r="J34" s="154" t="s">
        <v>17</v>
      </c>
      <c r="K34" s="71">
        <f t="shared" ref="K34:K35" si="10">SUM(D34:J34)</f>
        <v>4</v>
      </c>
      <c r="L34" s="70">
        <v>1</v>
      </c>
      <c r="M34" s="70">
        <v>1</v>
      </c>
      <c r="N34" s="153">
        <v>0</v>
      </c>
      <c r="O34" s="70">
        <v>1</v>
      </c>
      <c r="P34" s="154" t="s">
        <v>16</v>
      </c>
      <c r="Q34" s="70">
        <v>1</v>
      </c>
      <c r="R34" s="154" t="s">
        <v>17</v>
      </c>
      <c r="S34" s="71">
        <f t="shared" ref="S34:S35" si="11">SUM(L34:R34)</f>
        <v>4</v>
      </c>
      <c r="T34" s="70">
        <v>1</v>
      </c>
      <c r="U34" s="70">
        <v>1</v>
      </c>
      <c r="V34" s="70">
        <v>1</v>
      </c>
      <c r="W34" s="70">
        <v>1</v>
      </c>
      <c r="X34" s="70">
        <v>0</v>
      </c>
      <c r="Y34" s="70" t="s">
        <v>16</v>
      </c>
      <c r="Z34" s="70" t="s">
        <v>16</v>
      </c>
      <c r="AA34" s="71">
        <f t="shared" ref="AA34:AA35" si="12">SUM(T34:Z34)</f>
        <v>4</v>
      </c>
      <c r="AB34" s="70">
        <v>1</v>
      </c>
      <c r="AC34" s="70">
        <v>1</v>
      </c>
      <c r="AD34" s="70">
        <v>1</v>
      </c>
      <c r="AE34" s="70">
        <v>1</v>
      </c>
      <c r="AF34" s="70" t="s">
        <v>16</v>
      </c>
      <c r="AG34" s="70" t="s">
        <v>16</v>
      </c>
      <c r="AH34" s="13">
        <f t="shared" ref="AH34:AH35" si="13">SUM(AB34:AG34)</f>
        <v>4</v>
      </c>
    </row>
    <row r="35" spans="2:35" ht="16">
      <c r="C35" s="11" t="s">
        <v>387</v>
      </c>
      <c r="D35" s="70">
        <v>4204</v>
      </c>
      <c r="E35" s="70">
        <v>3185</v>
      </c>
      <c r="F35" s="70">
        <v>0</v>
      </c>
      <c r="G35" s="70">
        <v>1302</v>
      </c>
      <c r="H35" s="154" t="s">
        <v>16</v>
      </c>
      <c r="I35" s="70">
        <v>54</v>
      </c>
      <c r="J35" s="154" t="s">
        <v>17</v>
      </c>
      <c r="K35" s="71">
        <f t="shared" si="10"/>
        <v>8745</v>
      </c>
      <c r="L35" s="70">
        <v>4103</v>
      </c>
      <c r="M35" s="70">
        <v>3203</v>
      </c>
      <c r="N35" s="70">
        <v>0</v>
      </c>
      <c r="O35" s="70">
        <v>251</v>
      </c>
      <c r="P35" s="154" t="s">
        <v>16</v>
      </c>
      <c r="Q35" s="70">
        <v>44</v>
      </c>
      <c r="R35" s="154" t="s">
        <v>17</v>
      </c>
      <c r="S35" s="71">
        <f t="shared" si="11"/>
        <v>7601</v>
      </c>
      <c r="T35" s="70">
        <v>3997</v>
      </c>
      <c r="U35" s="70">
        <v>3237</v>
      </c>
      <c r="V35" s="70">
        <v>0</v>
      </c>
      <c r="W35" s="70">
        <v>163</v>
      </c>
      <c r="X35" s="70">
        <v>0</v>
      </c>
      <c r="Y35" s="70" t="s">
        <v>16</v>
      </c>
      <c r="Z35" s="70" t="s">
        <v>16</v>
      </c>
      <c r="AA35" s="71">
        <f t="shared" si="12"/>
        <v>7397</v>
      </c>
      <c r="AB35" s="70">
        <v>2221</v>
      </c>
      <c r="AC35" s="70">
        <v>1977</v>
      </c>
      <c r="AD35" s="70">
        <v>4545</v>
      </c>
      <c r="AE35" s="70">
        <v>133</v>
      </c>
      <c r="AF35" s="70"/>
      <c r="AG35" s="70"/>
      <c r="AH35" s="13">
        <f t="shared" si="13"/>
        <v>8876</v>
      </c>
    </row>
    <row r="36" spans="2:35" ht="16" customHeight="1" thickBot="1">
      <c r="B36" s="27"/>
      <c r="C36" s="28"/>
      <c r="D36" s="29"/>
      <c r="E36" s="29"/>
      <c r="F36" s="29"/>
      <c r="G36" s="29"/>
      <c r="H36" s="29"/>
      <c r="I36" s="29"/>
      <c r="J36" s="29"/>
      <c r="K36" s="155"/>
      <c r="L36" s="29"/>
      <c r="M36" s="29"/>
      <c r="N36" s="29"/>
      <c r="O36" s="29"/>
      <c r="P36" s="29"/>
      <c r="Q36" s="29"/>
      <c r="R36" s="29"/>
      <c r="S36" s="30"/>
      <c r="T36" s="29"/>
      <c r="U36" s="29"/>
      <c r="V36" s="29"/>
      <c r="W36" s="29"/>
      <c r="X36" s="29"/>
      <c r="Y36" s="29"/>
      <c r="Z36" s="29"/>
      <c r="AA36" s="29"/>
      <c r="AB36" s="29"/>
      <c r="AC36" s="29"/>
      <c r="AD36" s="29"/>
      <c r="AE36" s="29"/>
      <c r="AF36" s="29"/>
      <c r="AG36" s="29"/>
      <c r="AH36" s="29"/>
      <c r="AI36" s="22"/>
    </row>
    <row r="37" spans="2:35">
      <c r="B37" s="10" t="s">
        <v>388</v>
      </c>
      <c r="C37" s="11"/>
      <c r="X37" s="2"/>
      <c r="AH37" s="2"/>
    </row>
    <row r="38" spans="2:35" ht="17" customHeight="1">
      <c r="C38" s="11" t="s">
        <v>389</v>
      </c>
      <c r="D38" s="70">
        <f t="shared" ref="D38:I40" si="14">+D47+D53</f>
        <v>38072.783515845396</v>
      </c>
      <c r="E38" s="70">
        <f t="shared" si="14"/>
        <v>1084.620270973943</v>
      </c>
      <c r="F38" s="70">
        <f t="shared" si="14"/>
        <v>35.802412489631998</v>
      </c>
      <c r="G38" s="70">
        <f t="shared" si="14"/>
        <v>369.59157287886001</v>
      </c>
      <c r="H38" s="70">
        <f t="shared" si="14"/>
        <v>22331.676185416552</v>
      </c>
      <c r="I38" s="70">
        <f t="shared" si="14"/>
        <v>1436.0644115861751</v>
      </c>
      <c r="J38" s="156" t="s">
        <v>17</v>
      </c>
      <c r="K38" s="71">
        <f>SUM(D38:I38)</f>
        <v>63330.538369190559</v>
      </c>
      <c r="L38" s="70">
        <f t="shared" ref="L38:Q40" si="15">+L47+L53</f>
        <v>38155.162810093694</v>
      </c>
      <c r="M38" s="70">
        <f t="shared" si="15"/>
        <v>14271.860023429701</v>
      </c>
      <c r="N38" s="70">
        <f t="shared" si="15"/>
        <v>10.4758010415</v>
      </c>
      <c r="O38" s="70">
        <f t="shared" si="15"/>
        <v>299.07521644860009</v>
      </c>
      <c r="P38" s="70">
        <f t="shared" si="15"/>
        <v>27210.954320233803</v>
      </c>
      <c r="Q38" s="70">
        <f t="shared" si="15"/>
        <v>423.22655282369999</v>
      </c>
      <c r="R38" s="156" t="s">
        <v>17</v>
      </c>
      <c r="S38" s="71">
        <f>SUM(L38:Q38)</f>
        <v>80370.754724071012</v>
      </c>
      <c r="T38" s="70">
        <f t="shared" ref="T38:Y40" si="16">+T47+T53</f>
        <v>37895.517204668155</v>
      </c>
      <c r="U38" s="70">
        <f t="shared" si="16"/>
        <v>16459.558627456645</v>
      </c>
      <c r="V38" s="70">
        <f t="shared" si="16"/>
        <v>655.30787598013876</v>
      </c>
      <c r="W38" s="70">
        <f t="shared" si="16"/>
        <v>1736.8094885019086</v>
      </c>
      <c r="X38" s="70">
        <f t="shared" si="16"/>
        <v>501.07633082956357</v>
      </c>
      <c r="Y38" s="70">
        <f t="shared" si="16"/>
        <v>8984.9880416670348</v>
      </c>
      <c r="Z38" s="70"/>
      <c r="AA38" s="71">
        <f>SUM(T38:Y38)</f>
        <v>66233.257569103444</v>
      </c>
      <c r="AB38" s="70">
        <f t="shared" ref="AB38:AF40" si="17">+AB47+AB53</f>
        <v>12955.135135584234</v>
      </c>
      <c r="AC38" s="70">
        <f t="shared" si="17"/>
        <v>25681.190009552389</v>
      </c>
      <c r="AD38" s="70">
        <f t="shared" si="17"/>
        <v>1442.6077842857139</v>
      </c>
      <c r="AE38" s="70">
        <f t="shared" si="17"/>
        <v>1967.0998848728091</v>
      </c>
      <c r="AF38" s="70">
        <f t="shared" si="17"/>
        <v>666.31832445399982</v>
      </c>
      <c r="AG38" s="70"/>
      <c r="AH38" s="71">
        <f>SUM(AB38:AF38)</f>
        <v>42712.351138749145</v>
      </c>
    </row>
    <row r="39" spans="2:35" ht="16">
      <c r="C39" s="11" t="s">
        <v>390</v>
      </c>
      <c r="D39" s="70">
        <f t="shared" si="14"/>
        <v>90930.126556283503</v>
      </c>
      <c r="E39" s="70">
        <f t="shared" si="14"/>
        <v>38182.077778305204</v>
      </c>
      <c r="F39" s="70">
        <f t="shared" si="14"/>
        <v>141.234491756328</v>
      </c>
      <c r="G39" s="70">
        <f t="shared" si="14"/>
        <v>1989.3221121031959</v>
      </c>
      <c r="H39" s="70">
        <f t="shared" si="14"/>
        <v>40632.764095444494</v>
      </c>
      <c r="I39" s="70">
        <f t="shared" si="14"/>
        <v>1854.218042559376</v>
      </c>
      <c r="J39" s="156"/>
      <c r="K39" s="71">
        <f>SUM(D39:I39)</f>
        <v>173729.74307645208</v>
      </c>
      <c r="L39" s="70">
        <f t="shared" si="15"/>
        <v>64886.4623925821</v>
      </c>
      <c r="M39" s="70">
        <f t="shared" si="15"/>
        <v>25943.9038301705</v>
      </c>
      <c r="N39" s="70">
        <f t="shared" si="15"/>
        <v>169.81045598060001</v>
      </c>
      <c r="O39" s="70">
        <f t="shared" si="15"/>
        <v>7577.2658984502004</v>
      </c>
      <c r="P39" s="70">
        <f t="shared" si="15"/>
        <v>19330.430173347202</v>
      </c>
      <c r="Q39" s="70">
        <f t="shared" si="15"/>
        <v>714.07484237719996</v>
      </c>
      <c r="R39" s="156"/>
      <c r="S39" s="71">
        <f>SUM(L39:Q39)</f>
        <v>118621.9475929078</v>
      </c>
      <c r="T39" s="70">
        <f t="shared" si="16"/>
        <v>56369.393867818915</v>
      </c>
      <c r="U39" s="70">
        <f t="shared" si="16"/>
        <v>22840.979997740404</v>
      </c>
      <c r="V39" s="70">
        <f t="shared" si="16"/>
        <v>746.38372686110586</v>
      </c>
      <c r="W39" s="70">
        <f t="shared" si="16"/>
        <v>6065.4124254895105</v>
      </c>
      <c r="X39" s="70">
        <f t="shared" si="16"/>
        <v>4788.5706252150485</v>
      </c>
      <c r="Y39" s="70">
        <f t="shared" si="16"/>
        <v>6493.3290483104538</v>
      </c>
      <c r="Z39" s="70"/>
      <c r="AA39" s="71">
        <f>SUM(T39:Y39)</f>
        <v>97304.069691435448</v>
      </c>
      <c r="AB39" s="70">
        <f t="shared" si="17"/>
        <v>54912.756603948983</v>
      </c>
      <c r="AC39" s="70">
        <f t="shared" si="17"/>
        <v>13997.102385709954</v>
      </c>
      <c r="AD39" s="70">
        <f t="shared" si="17"/>
        <v>1320.5424210851434</v>
      </c>
      <c r="AE39" s="70">
        <f t="shared" si="17"/>
        <v>14140.130338363724</v>
      </c>
      <c r="AF39" s="70">
        <f t="shared" si="17"/>
        <v>4528.7213529463788</v>
      </c>
      <c r="AG39" s="70"/>
      <c r="AH39" s="71">
        <f>SUM(AB39:AF39)</f>
        <v>88899.253102054194</v>
      </c>
    </row>
    <row r="40" spans="2:35" ht="16">
      <c r="C40" s="11" t="s">
        <v>391</v>
      </c>
      <c r="D40" s="70">
        <f t="shared" si="14"/>
        <v>788.21269568518801</v>
      </c>
      <c r="E40" s="70">
        <f t="shared" si="14"/>
        <v>137.26332559741201</v>
      </c>
      <c r="F40" s="70">
        <f t="shared" si="14"/>
        <v>0</v>
      </c>
      <c r="G40" s="70">
        <f t="shared" si="14"/>
        <v>22.174515754560002</v>
      </c>
      <c r="H40" s="70">
        <f t="shared" si="14"/>
        <v>7261.8716219939406</v>
      </c>
      <c r="I40" s="70">
        <f t="shared" si="14"/>
        <v>0</v>
      </c>
      <c r="J40" s="156"/>
      <c r="K40" s="71">
        <f>SUM(D40:I40)</f>
        <v>8209.5221590311012</v>
      </c>
      <c r="L40" s="70">
        <f t="shared" si="15"/>
        <v>961.83302284930005</v>
      </c>
      <c r="M40" s="70">
        <f t="shared" si="15"/>
        <v>491.66725844690001</v>
      </c>
      <c r="N40" s="70">
        <f t="shared" si="15"/>
        <v>0</v>
      </c>
      <c r="O40" s="70">
        <f t="shared" si="15"/>
        <v>0</v>
      </c>
      <c r="P40" s="70">
        <f t="shared" si="15"/>
        <v>21254.6203513646</v>
      </c>
      <c r="Q40" s="70">
        <f t="shared" si="15"/>
        <v>0</v>
      </c>
      <c r="R40" s="156"/>
      <c r="S40" s="71">
        <f>SUM(L40:Q40)</f>
        <v>22708.120632660801</v>
      </c>
      <c r="T40" s="70">
        <f t="shared" si="16"/>
        <v>573.94763430457203</v>
      </c>
      <c r="U40" s="70">
        <f t="shared" si="16"/>
        <v>445.47443135730703</v>
      </c>
      <c r="V40" s="70">
        <f t="shared" si="16"/>
        <v>0</v>
      </c>
      <c r="W40" s="70">
        <f t="shared" si="16"/>
        <v>89.749671651357374</v>
      </c>
      <c r="X40" s="70">
        <f t="shared" si="16"/>
        <v>543.79428387433961</v>
      </c>
      <c r="Y40" s="70">
        <f t="shared" si="16"/>
        <v>414.56831946980083</v>
      </c>
      <c r="Z40" s="70"/>
      <c r="AA40" s="71">
        <f>SUM(T40:Y40)</f>
        <v>2067.534340657377</v>
      </c>
      <c r="AB40" s="70">
        <f t="shared" si="17"/>
        <v>2250.9824964523327</v>
      </c>
      <c r="AC40" s="70">
        <f t="shared" si="17"/>
        <v>2504.3495442731428</v>
      </c>
      <c r="AD40" s="70">
        <f t="shared" si="17"/>
        <v>13.084984139523808</v>
      </c>
      <c r="AE40" s="70">
        <f t="shared" si="17"/>
        <v>168.61441844614285</v>
      </c>
      <c r="AF40" s="70">
        <f t="shared" si="17"/>
        <v>26.372085466666668</v>
      </c>
      <c r="AG40" s="70"/>
      <c r="AH40" s="71">
        <f>SUM(AB40:AF40)</f>
        <v>4963.4035287778088</v>
      </c>
    </row>
    <row r="41" spans="2:35" s="15" customFormat="1">
      <c r="C41" s="10" t="s">
        <v>392</v>
      </c>
      <c r="D41" s="106">
        <f t="shared" ref="D41:I41" si="18">SUM(D38:D40)</f>
        <v>129791.12276781409</v>
      </c>
      <c r="E41" s="106">
        <f t="shared" si="18"/>
        <v>39403.961374876562</v>
      </c>
      <c r="F41" s="106">
        <f t="shared" si="18"/>
        <v>177.03690424595999</v>
      </c>
      <c r="G41" s="106">
        <f t="shared" si="18"/>
        <v>2381.0882007366163</v>
      </c>
      <c r="H41" s="106">
        <f t="shared" si="18"/>
        <v>70226.311902854985</v>
      </c>
      <c r="I41" s="106">
        <f t="shared" si="18"/>
        <v>3290.2824541455511</v>
      </c>
      <c r="J41" s="156"/>
      <c r="K41" s="108">
        <f>SUM(D41:I41)</f>
        <v>245269.80360467377</v>
      </c>
      <c r="L41" s="106">
        <f t="shared" ref="L41:Q41" si="19">SUM(L38:L40)</f>
        <v>104003.45822552509</v>
      </c>
      <c r="M41" s="106">
        <f t="shared" si="19"/>
        <v>40707.431112047103</v>
      </c>
      <c r="N41" s="106">
        <f t="shared" si="19"/>
        <v>180.28625702210002</v>
      </c>
      <c r="O41" s="106">
        <f t="shared" si="19"/>
        <v>7876.3411148988007</v>
      </c>
      <c r="P41" s="106">
        <f t="shared" si="19"/>
        <v>67796.004844945608</v>
      </c>
      <c r="Q41" s="106">
        <f t="shared" si="19"/>
        <v>1137.3013952009001</v>
      </c>
      <c r="R41" s="156"/>
      <c r="S41" s="108">
        <f>SUM(L41:Q41)</f>
        <v>221700.82294963958</v>
      </c>
      <c r="T41" s="157">
        <f>SUM(T38:T40)</f>
        <v>94838.858706791638</v>
      </c>
      <c r="U41" s="157">
        <f t="shared" ref="U41:Y41" si="20">SUM(U38:U40)</f>
        <v>39746.013056554359</v>
      </c>
      <c r="V41" s="157">
        <f t="shared" si="20"/>
        <v>1401.6916028412447</v>
      </c>
      <c r="W41" s="157">
        <f t="shared" si="20"/>
        <v>7891.9715856427765</v>
      </c>
      <c r="X41" s="157">
        <f t="shared" si="20"/>
        <v>5833.4412399189514</v>
      </c>
      <c r="Y41" s="157">
        <f t="shared" si="20"/>
        <v>15892.88540944729</v>
      </c>
      <c r="Z41" s="157"/>
      <c r="AA41" s="108">
        <f>SUM(T41:Y41)</f>
        <v>165604.86160119626</v>
      </c>
      <c r="AB41" s="157">
        <f t="shared" ref="AB41:AF41" si="21">SUM(AB38:AB40)</f>
        <v>70118.874235985553</v>
      </c>
      <c r="AC41" s="157">
        <f t="shared" si="21"/>
        <v>42182.641939535482</v>
      </c>
      <c r="AD41" s="157">
        <f t="shared" si="21"/>
        <v>2776.2351895103811</v>
      </c>
      <c r="AE41" s="157">
        <f t="shared" si="21"/>
        <v>16275.844641682676</v>
      </c>
      <c r="AF41" s="157">
        <f t="shared" si="21"/>
        <v>5221.4117628670447</v>
      </c>
      <c r="AG41" s="157"/>
      <c r="AH41" s="107">
        <f t="shared" ref="AH41" si="22">SUM(AH38:AH40)</f>
        <v>136575.00776958113</v>
      </c>
    </row>
    <row r="42" spans="2:35" ht="16">
      <c r="C42" s="11" t="s">
        <v>393</v>
      </c>
      <c r="D42" s="101">
        <f>D38/D41</f>
        <v>0.29333888715913609</v>
      </c>
      <c r="E42" s="101">
        <f t="shared" ref="E42:I42" si="23">E38/E41</f>
        <v>2.752566577393618E-2</v>
      </c>
      <c r="F42" s="101">
        <f t="shared" si="23"/>
        <v>0.20223135194394937</v>
      </c>
      <c r="G42" s="101">
        <f t="shared" si="23"/>
        <v>0.15521960621388267</v>
      </c>
      <c r="H42" s="101">
        <f t="shared" si="23"/>
        <v>0.31799585625838167</v>
      </c>
      <c r="I42" s="101">
        <f t="shared" si="23"/>
        <v>0.43645627133829296</v>
      </c>
      <c r="J42" s="156"/>
      <c r="K42" s="102">
        <f t="shared" ref="K42" si="24">K38/K41</f>
        <v>0.25820764496255239</v>
      </c>
      <c r="L42" s="101">
        <f>L38/L41</f>
        <v>0.36686436644593662</v>
      </c>
      <c r="M42" s="101">
        <f t="shared" ref="M42:Q42" si="25">M38/M41</f>
        <v>0.35059593871562272</v>
      </c>
      <c r="N42" s="101">
        <f t="shared" si="25"/>
        <v>5.8106486953222652E-2</v>
      </c>
      <c r="O42" s="101">
        <f t="shared" si="25"/>
        <v>3.7971338732761671E-2</v>
      </c>
      <c r="P42" s="101">
        <f t="shared" si="25"/>
        <v>0.4013651598271496</v>
      </c>
      <c r="Q42" s="101">
        <f t="shared" si="25"/>
        <v>0.37213227259686832</v>
      </c>
      <c r="R42" s="156"/>
      <c r="S42" s="102">
        <f t="shared" ref="S42:Y42" si="26">S38/S41</f>
        <v>0.36251897333880273</v>
      </c>
      <c r="T42" s="158">
        <f t="shared" si="26"/>
        <v>0.39957795487425413</v>
      </c>
      <c r="U42" s="158">
        <f t="shared" si="26"/>
        <v>0.41411848287868369</v>
      </c>
      <c r="V42" s="158">
        <f t="shared" si="26"/>
        <v>0.46751216505244253</v>
      </c>
      <c r="W42" s="158">
        <f t="shared" si="26"/>
        <v>0.22007295257645695</v>
      </c>
      <c r="X42" s="158">
        <f t="shared" si="26"/>
        <v>8.5897210620831665E-2</v>
      </c>
      <c r="Y42" s="158">
        <f t="shared" si="26"/>
        <v>0.565346556662772</v>
      </c>
      <c r="Z42" s="158"/>
      <c r="AA42" s="102">
        <f t="shared" ref="AA42:AF42" si="27">AA38/AA41</f>
        <v>0.39994754337951754</v>
      </c>
      <c r="AB42" s="158">
        <f t="shared" si="27"/>
        <v>0.18475959970469061</v>
      </c>
      <c r="AC42" s="158">
        <f t="shared" si="27"/>
        <v>0.60880942560126405</v>
      </c>
      <c r="AD42" s="158">
        <f t="shared" si="27"/>
        <v>0.51962736793208553</v>
      </c>
      <c r="AE42" s="158">
        <f t="shared" si="27"/>
        <v>0.12086007996384025</v>
      </c>
      <c r="AF42" s="158">
        <f t="shared" si="27"/>
        <v>0.12761267540565094</v>
      </c>
      <c r="AG42" s="158"/>
      <c r="AH42" s="102">
        <f t="shared" ref="AH42" si="28">AH38/AH41</f>
        <v>0.3127391448573823</v>
      </c>
    </row>
    <row r="43" spans="2:35" ht="16">
      <c r="C43" s="11" t="s">
        <v>390</v>
      </c>
      <c r="D43" s="101">
        <f>D39/D41</f>
        <v>0.70058818058728267</v>
      </c>
      <c r="E43" s="101">
        <f t="shared" ref="E43:I43" si="29">E39/E41</f>
        <v>0.96899084371373845</v>
      </c>
      <c r="F43" s="101">
        <f t="shared" si="29"/>
        <v>0.79776864805605063</v>
      </c>
      <c r="G43" s="101">
        <f t="shared" si="29"/>
        <v>0.83546762840947131</v>
      </c>
      <c r="H43" s="101">
        <f t="shared" si="29"/>
        <v>0.57859743726329171</v>
      </c>
      <c r="I43" s="101">
        <f t="shared" si="29"/>
        <v>0.5635437286617071</v>
      </c>
      <c r="J43" s="156"/>
      <c r="K43" s="102">
        <f t="shared" ref="K43" si="30">K39/K41</f>
        <v>0.70832096133802891</v>
      </c>
      <c r="L43" s="101">
        <f>L39/L41</f>
        <v>0.62388754662253443</v>
      </c>
      <c r="M43" s="101">
        <f t="shared" ref="M43:Q43" si="31">M39/M41</f>
        <v>0.63732598990980216</v>
      </c>
      <c r="N43" s="101">
        <f t="shared" si="31"/>
        <v>0.94189351304677726</v>
      </c>
      <c r="O43" s="101">
        <f t="shared" si="31"/>
        <v>0.96202866126723829</v>
      </c>
      <c r="P43" s="101">
        <f t="shared" si="31"/>
        <v>0.28512639081841623</v>
      </c>
      <c r="Q43" s="101">
        <f t="shared" si="31"/>
        <v>0.62786772740313157</v>
      </c>
      <c r="R43" s="156"/>
      <c r="S43" s="102">
        <f t="shared" ref="S43:Y43" si="32">S39/S41</f>
        <v>0.53505415999224037</v>
      </c>
      <c r="T43" s="158">
        <f t="shared" si="32"/>
        <v>0.59437022583847443</v>
      </c>
      <c r="U43" s="158">
        <f t="shared" si="32"/>
        <v>0.57467348901737925</v>
      </c>
      <c r="V43" s="158">
        <f t="shared" si="32"/>
        <v>0.53248783494755736</v>
      </c>
      <c r="W43" s="158">
        <f t="shared" si="32"/>
        <v>0.76855477236180414</v>
      </c>
      <c r="X43" s="158">
        <f t="shared" si="32"/>
        <v>0.82088263655529337</v>
      </c>
      <c r="Y43" s="158">
        <f t="shared" si="32"/>
        <v>0.40856829210198614</v>
      </c>
      <c r="Z43" s="158"/>
      <c r="AA43" s="102">
        <f t="shared" ref="AA43:AF43" si="33">AA39/AA41</f>
        <v>0.58756771238853878</v>
      </c>
      <c r="AB43" s="158">
        <f t="shared" si="33"/>
        <v>0.78313802385274645</v>
      </c>
      <c r="AC43" s="158">
        <f t="shared" si="33"/>
        <v>0.33182137822883101</v>
      </c>
      <c r="AD43" s="158">
        <f t="shared" si="33"/>
        <v>0.47565942038146819</v>
      </c>
      <c r="AE43" s="158">
        <f t="shared" si="33"/>
        <v>0.86878012475927946</v>
      </c>
      <c r="AF43" s="158">
        <f t="shared" si="33"/>
        <v>0.86733656693255812</v>
      </c>
      <c r="AG43" s="158"/>
      <c r="AH43" s="102">
        <f t="shared" ref="AH43" si="34">AH39/AH41</f>
        <v>0.6509188947075748</v>
      </c>
    </row>
    <row r="44" spans="2:35" ht="16">
      <c r="C44" s="11" t="s">
        <v>394</v>
      </c>
      <c r="D44" s="101">
        <f>D40/D41</f>
        <v>6.0729322535812971E-3</v>
      </c>
      <c r="E44" s="101">
        <f t="shared" ref="E44:I44" si="35">E40/E41</f>
        <v>3.4834905123252219E-3</v>
      </c>
      <c r="F44" s="101">
        <f t="shared" si="35"/>
        <v>0</v>
      </c>
      <c r="G44" s="101">
        <f t="shared" si="35"/>
        <v>9.3127653766458835E-3</v>
      </c>
      <c r="H44" s="101">
        <f t="shared" si="35"/>
        <v>0.10340670647832663</v>
      </c>
      <c r="I44" s="101">
        <f t="shared" si="35"/>
        <v>0</v>
      </c>
      <c r="J44" s="156"/>
      <c r="K44" s="102">
        <f t="shared" ref="K44" si="36">K40/K41</f>
        <v>3.3471393699418546E-2</v>
      </c>
      <c r="L44" s="101">
        <f>L40/L41</f>
        <v>9.2480869315289919E-3</v>
      </c>
      <c r="M44" s="101">
        <f t="shared" ref="M44:Q44" si="37">M40/M41</f>
        <v>1.2078071374575004E-2</v>
      </c>
      <c r="N44" s="101">
        <f t="shared" si="37"/>
        <v>0</v>
      </c>
      <c r="O44" s="101">
        <f t="shared" si="37"/>
        <v>0</v>
      </c>
      <c r="P44" s="101">
        <f t="shared" si="37"/>
        <v>0.31350844935443412</v>
      </c>
      <c r="Q44" s="101">
        <f t="shared" si="37"/>
        <v>0</v>
      </c>
      <c r="R44" s="156"/>
      <c r="S44" s="102">
        <f t="shared" ref="S44:Y44" si="38">S40/S41</f>
        <v>0.10242686666895712</v>
      </c>
      <c r="T44" s="158">
        <f t="shared" si="38"/>
        <v>6.051819287271434E-3</v>
      </c>
      <c r="U44" s="158">
        <f t="shared" si="38"/>
        <v>1.120802810393697E-2</v>
      </c>
      <c r="V44" s="158">
        <f t="shared" si="38"/>
        <v>0</v>
      </c>
      <c r="W44" s="158">
        <f t="shared" si="38"/>
        <v>1.1372275061738903E-2</v>
      </c>
      <c r="X44" s="158">
        <f t="shared" si="38"/>
        <v>9.322015282387501E-2</v>
      </c>
      <c r="Y44" s="158">
        <f t="shared" si="38"/>
        <v>2.608515123524183E-2</v>
      </c>
      <c r="Z44" s="158"/>
      <c r="AA44" s="102">
        <f t="shared" ref="AA44:AF44" si="39">AA40/AA41</f>
        <v>1.2484744231943744E-2</v>
      </c>
      <c r="AB44" s="158">
        <f t="shared" si="39"/>
        <v>3.2102376442562891E-2</v>
      </c>
      <c r="AC44" s="158">
        <f t="shared" si="39"/>
        <v>5.9369196169904971E-2</v>
      </c>
      <c r="AD44" s="158">
        <f t="shared" si="39"/>
        <v>4.7132116864463079E-3</v>
      </c>
      <c r="AE44" s="158">
        <f t="shared" si="39"/>
        <v>1.0359795276880369E-2</v>
      </c>
      <c r="AF44" s="158">
        <f t="shared" si="39"/>
        <v>5.0507576617910555E-3</v>
      </c>
      <c r="AG44" s="158"/>
      <c r="AH44" s="102">
        <f t="shared" ref="AH44" si="40">AH40/AH41</f>
        <v>3.6341960435043008E-2</v>
      </c>
    </row>
    <row r="45" spans="2:35" ht="16" customHeight="1" thickBot="1">
      <c r="B45" s="27"/>
      <c r="C45" s="28"/>
      <c r="D45" s="29"/>
      <c r="E45" s="29"/>
      <c r="F45" s="29"/>
      <c r="G45" s="29"/>
      <c r="H45" s="29"/>
      <c r="I45" s="29"/>
      <c r="J45" s="29"/>
      <c r="K45" s="30"/>
      <c r="L45" s="29"/>
      <c r="M45" s="29"/>
      <c r="N45" s="29"/>
      <c r="O45" s="29"/>
      <c r="P45" s="29"/>
      <c r="Q45" s="29"/>
      <c r="R45" s="29"/>
      <c r="S45" s="30"/>
      <c r="T45" s="29"/>
      <c r="U45" s="29"/>
      <c r="V45" s="29"/>
      <c r="W45" s="29"/>
      <c r="X45" s="29"/>
      <c r="Y45" s="29"/>
      <c r="Z45" s="29"/>
      <c r="AA45" s="29"/>
      <c r="AB45" s="29"/>
      <c r="AC45" s="29"/>
      <c r="AD45" s="29"/>
      <c r="AE45" s="29"/>
      <c r="AF45" s="29"/>
      <c r="AG45" s="29"/>
      <c r="AH45" s="29"/>
      <c r="AI45" s="22"/>
    </row>
    <row r="46" spans="2:35">
      <c r="B46" s="10" t="s">
        <v>395</v>
      </c>
      <c r="C46" s="11"/>
      <c r="X46" s="2"/>
      <c r="AH46" s="2"/>
    </row>
    <row r="47" spans="2:35" ht="16">
      <c r="C47" s="11" t="s">
        <v>389</v>
      </c>
      <c r="D47" s="70">
        <f>19494105.791124/1000</f>
        <v>19494.105791124002</v>
      </c>
      <c r="E47" s="70">
        <f>593664.684513468/1000</f>
        <v>593.66468451346793</v>
      </c>
      <c r="F47" s="70">
        <v>0</v>
      </c>
      <c r="G47" s="70">
        <f>276887.735039688/1000</f>
        <v>276.88773503968798</v>
      </c>
      <c r="H47" s="70">
        <f>15127796.323628/1000</f>
        <v>15127.796323628001</v>
      </c>
      <c r="I47" s="70">
        <f>865343.877446759/1000</f>
        <v>865.34387744675905</v>
      </c>
      <c r="J47" s="156" t="s">
        <v>17</v>
      </c>
      <c r="K47" s="71">
        <f>SUM(D47:I47)</f>
        <v>36357.798411751915</v>
      </c>
      <c r="L47" s="70">
        <v>19130.471722427799</v>
      </c>
      <c r="M47" s="70">
        <v>4511.7119914351997</v>
      </c>
      <c r="N47" s="70">
        <v>9.7343267415000003</v>
      </c>
      <c r="O47" s="70">
        <v>208.1489799302</v>
      </c>
      <c r="P47" s="70">
        <v>22504.987276810902</v>
      </c>
      <c r="Q47" s="70">
        <v>272.93217335140002</v>
      </c>
      <c r="R47" s="156" t="s">
        <v>17</v>
      </c>
      <c r="S47" s="71">
        <f>SUM(L47:Q47)</f>
        <v>46637.986470697004</v>
      </c>
      <c r="T47" s="70">
        <v>15286.656819091831</v>
      </c>
      <c r="U47" s="70">
        <v>7006.489709214743</v>
      </c>
      <c r="V47" s="70">
        <v>543.87700425256946</v>
      </c>
      <c r="W47" s="70">
        <v>356.01546931423957</v>
      </c>
      <c r="X47" s="70">
        <v>161.38499655047417</v>
      </c>
      <c r="Y47" s="70">
        <v>7345.3216515008562</v>
      </c>
      <c r="Z47" s="70"/>
      <c r="AA47" s="71">
        <f>SUM(T47:Y47)</f>
        <v>30699.745649924713</v>
      </c>
      <c r="AB47" s="70">
        <v>6332.9635819351888</v>
      </c>
      <c r="AC47" s="70">
        <v>5855.2936057428524</v>
      </c>
      <c r="AD47" s="70">
        <v>86.605815238095218</v>
      </c>
      <c r="AE47" s="70">
        <v>430.75332177757139</v>
      </c>
      <c r="AF47" s="70">
        <v>250.48970669828572</v>
      </c>
      <c r="AG47" s="70"/>
      <c r="AH47" s="71">
        <f>SUM(AB47:AF47)</f>
        <v>12956.106031391993</v>
      </c>
    </row>
    <row r="48" spans="2:35" ht="16">
      <c r="C48" s="11" t="s">
        <v>396</v>
      </c>
      <c r="D48" s="70">
        <f>37435494.8414702/1000</f>
        <v>37435.494841470194</v>
      </c>
      <c r="E48" s="70">
        <f>20588608.9050076/1000</f>
        <v>20588.608905007601</v>
      </c>
      <c r="F48" s="70">
        <f>7904.800276044/1000</f>
        <v>7.9048002760440008</v>
      </c>
      <c r="G48" s="70">
        <f>58214.043188016/1000</f>
        <v>58.214043188016007</v>
      </c>
      <c r="H48" s="70">
        <f>23252650.9870253/1000</f>
        <v>23252.650987025299</v>
      </c>
      <c r="I48" s="70">
        <f>1336260.77088172/1000</f>
        <v>1336.26077088172</v>
      </c>
      <c r="J48" s="156"/>
      <c r="K48" s="71">
        <f>SUM(D48:I48)</f>
        <v>82679.134347848885</v>
      </c>
      <c r="L48" s="70">
        <v>29244.437794654899</v>
      </c>
      <c r="M48" s="70">
        <v>14886.072982260601</v>
      </c>
      <c r="N48" s="70">
        <v>1.0914660832</v>
      </c>
      <c r="O48" s="70">
        <v>6584.4594775384003</v>
      </c>
      <c r="P48" s="70">
        <v>5579.7780234617003</v>
      </c>
      <c r="Q48" s="70">
        <v>515.27531330219995</v>
      </c>
      <c r="R48" s="156"/>
      <c r="S48" s="71">
        <f>SUM(L48:Q48)</f>
        <v>56811.115057301002</v>
      </c>
      <c r="T48" s="70">
        <v>26622.277464959756</v>
      </c>
      <c r="U48" s="70">
        <v>12402.548784427874</v>
      </c>
      <c r="V48" s="70">
        <v>7.1706465173851992</v>
      </c>
      <c r="W48" s="70">
        <v>1510.6284010267455</v>
      </c>
      <c r="X48" s="70">
        <v>716.97249460644582</v>
      </c>
      <c r="Y48" s="70">
        <v>2104.6982027113354</v>
      </c>
      <c r="Z48" s="70"/>
      <c r="AA48" s="71">
        <f>SUM(T48:Y48)</f>
        <v>43364.295994249544</v>
      </c>
      <c r="AB48" s="70">
        <v>18853.476843117372</v>
      </c>
      <c r="AC48" s="70">
        <v>8577.177442256143</v>
      </c>
      <c r="AD48" s="70">
        <v>46.275484005904723</v>
      </c>
      <c r="AE48" s="70">
        <v>3242.1701314570009</v>
      </c>
      <c r="AF48" s="70">
        <v>392.79323120404746</v>
      </c>
      <c r="AG48" s="70"/>
      <c r="AH48" s="71">
        <f>SUM(AB48:AF48)</f>
        <v>31111.89313204047</v>
      </c>
    </row>
    <row r="49" spans="2:36" ht="16">
      <c r="C49" s="11" t="s">
        <v>391</v>
      </c>
      <c r="D49" s="70">
        <f>356958.39237828/1000</f>
        <v>356.95839237828</v>
      </c>
      <c r="E49" s="70">
        <f>2979.13792104/1000</f>
        <v>2.97913792104</v>
      </c>
      <c r="F49" s="70">
        <v>0</v>
      </c>
      <c r="G49" s="70">
        <v>0</v>
      </c>
      <c r="H49" s="70">
        <f>3347791.76637365/1000</f>
        <v>3347.7917663736503</v>
      </c>
      <c r="I49" s="70">
        <v>0</v>
      </c>
      <c r="J49" s="156"/>
      <c r="K49" s="71">
        <f>SUM(D49:I49)</f>
        <v>3707.7292966729701</v>
      </c>
      <c r="L49" s="70">
        <v>830.4958108802</v>
      </c>
      <c r="M49" s="70">
        <v>471.20057856689999</v>
      </c>
      <c r="N49" s="70">
        <v>0</v>
      </c>
      <c r="O49" s="70">
        <v>0</v>
      </c>
      <c r="P49" s="70">
        <v>7087.5698874732998</v>
      </c>
      <c r="Q49" s="70">
        <v>0</v>
      </c>
      <c r="R49" s="156"/>
      <c r="S49" s="71">
        <f>SUM(L49:Q49)</f>
        <v>8389.2662769203998</v>
      </c>
      <c r="T49" s="70">
        <v>346.60667565601415</v>
      </c>
      <c r="U49" s="70">
        <v>16.949815136955507</v>
      </c>
      <c r="V49" s="70">
        <v>0</v>
      </c>
      <c r="W49" s="70">
        <v>0</v>
      </c>
      <c r="X49" s="70">
        <v>0</v>
      </c>
      <c r="Y49" s="70">
        <v>17.853653900339697</v>
      </c>
      <c r="Z49" s="70"/>
      <c r="AA49" s="71">
        <f>SUM(T49:Y49)</f>
        <v>381.41014469330935</v>
      </c>
      <c r="AB49" s="70">
        <v>308.43134554571418</v>
      </c>
      <c r="AC49" s="70">
        <v>175.56192707309523</v>
      </c>
      <c r="AD49" s="70">
        <v>0</v>
      </c>
      <c r="AE49" s="70">
        <v>42.96178054042857</v>
      </c>
      <c r="AF49" s="70">
        <v>0</v>
      </c>
      <c r="AG49" s="70"/>
      <c r="AH49" s="71">
        <f>SUM(AB49:AF49)</f>
        <v>526.95505315923799</v>
      </c>
    </row>
    <row r="50" spans="2:36" s="15" customFormat="1" ht="16">
      <c r="C50" s="16" t="s">
        <v>397</v>
      </c>
      <c r="D50" s="106">
        <f>SUM(D47:D49)</f>
        <v>57286.559024972477</v>
      </c>
      <c r="E50" s="106">
        <f t="shared" ref="E50:I50" si="41">SUM(E47:E49)</f>
        <v>21185.252727442108</v>
      </c>
      <c r="F50" s="106">
        <f t="shared" si="41"/>
        <v>7.9048002760440008</v>
      </c>
      <c r="G50" s="106">
        <f t="shared" si="41"/>
        <v>335.10177822770402</v>
      </c>
      <c r="H50" s="106">
        <f t="shared" si="41"/>
        <v>41728.239077026949</v>
      </c>
      <c r="I50" s="106">
        <f t="shared" si="41"/>
        <v>2201.604648328479</v>
      </c>
      <c r="J50" s="156"/>
      <c r="K50" s="108">
        <f>SUM(D50:I51)</f>
        <v>122744.66205627375</v>
      </c>
      <c r="L50" s="106">
        <f>SUM(L47:L49)</f>
        <v>49205.405327962901</v>
      </c>
      <c r="M50" s="106">
        <f t="shared" ref="M50:Q50" si="42">SUM(M47:M49)</f>
        <v>19868.9855522627</v>
      </c>
      <c r="N50" s="106">
        <f t="shared" si="42"/>
        <v>10.825792824700001</v>
      </c>
      <c r="O50" s="106">
        <f t="shared" si="42"/>
        <v>6792.6084574686001</v>
      </c>
      <c r="P50" s="106">
        <f t="shared" si="42"/>
        <v>35172.335187745899</v>
      </c>
      <c r="Q50" s="106">
        <f t="shared" si="42"/>
        <v>788.20748665359997</v>
      </c>
      <c r="R50" s="156"/>
      <c r="S50" s="159">
        <f>SUM(L50:Q51)</f>
        <v>111838.36780491839</v>
      </c>
      <c r="T50" s="106">
        <f t="shared" ref="T50:Y50" si="43">SUM(T47:T49)</f>
        <v>42255.540959707607</v>
      </c>
      <c r="U50" s="106">
        <f t="shared" si="43"/>
        <v>19425.988308779572</v>
      </c>
      <c r="V50" s="106">
        <f t="shared" si="43"/>
        <v>551.04765076995466</v>
      </c>
      <c r="W50" s="106">
        <f t="shared" si="43"/>
        <v>1866.6438703409849</v>
      </c>
      <c r="X50" s="106">
        <f t="shared" si="43"/>
        <v>878.35749115691999</v>
      </c>
      <c r="Y50" s="106">
        <f t="shared" si="43"/>
        <v>9467.8735081125305</v>
      </c>
      <c r="Z50" s="106"/>
      <c r="AA50" s="107">
        <f t="shared" ref="AA50:AF50" si="44">SUM(AA47:AA49)</f>
        <v>74445.451788867562</v>
      </c>
      <c r="AB50" s="106">
        <f t="shared" si="44"/>
        <v>25494.871770598278</v>
      </c>
      <c r="AC50" s="106">
        <f t="shared" si="44"/>
        <v>14608.03297507209</v>
      </c>
      <c r="AD50" s="106">
        <f t="shared" si="44"/>
        <v>132.88129924399993</v>
      </c>
      <c r="AE50" s="106">
        <f t="shared" si="44"/>
        <v>3715.8852337750009</v>
      </c>
      <c r="AF50" s="106">
        <f t="shared" si="44"/>
        <v>643.28293790233317</v>
      </c>
      <c r="AG50" s="106"/>
      <c r="AH50" s="108">
        <f>SUM(AB50:AF50)</f>
        <v>44594.954216591701</v>
      </c>
    </row>
    <row r="51" spans="2:36" ht="16" customHeight="1" thickBot="1">
      <c r="B51" s="27"/>
      <c r="C51" s="28"/>
      <c r="D51" s="29"/>
      <c r="E51" s="29"/>
      <c r="F51" s="29"/>
      <c r="G51" s="29"/>
      <c r="H51" s="29"/>
      <c r="I51" s="29"/>
      <c r="J51" s="29"/>
      <c r="K51" s="155"/>
      <c r="L51" s="29"/>
      <c r="M51" s="29"/>
      <c r="N51" s="29"/>
      <c r="O51" s="29"/>
      <c r="P51" s="29"/>
      <c r="Q51" s="29"/>
      <c r="R51" s="29"/>
      <c r="S51" s="30"/>
      <c r="T51" s="29"/>
      <c r="U51" s="29"/>
      <c r="V51" s="29"/>
      <c r="W51" s="29"/>
      <c r="X51" s="29"/>
      <c r="Y51" s="29"/>
      <c r="Z51" s="29"/>
      <c r="AA51" s="29"/>
      <c r="AB51" s="29"/>
      <c r="AC51" s="29"/>
      <c r="AD51" s="29"/>
      <c r="AE51" s="29"/>
      <c r="AF51" s="29"/>
      <c r="AG51" s="29"/>
      <c r="AH51" s="29"/>
      <c r="AI51" s="22"/>
    </row>
    <row r="52" spans="2:36">
      <c r="B52" s="10" t="s">
        <v>398</v>
      </c>
      <c r="C52" s="11"/>
      <c r="X52" s="2"/>
      <c r="AH52" s="2"/>
    </row>
    <row r="53" spans="2:36" ht="16">
      <c r="C53" s="11" t="s">
        <v>389</v>
      </c>
      <c r="D53" s="70">
        <f>18578677.7247214/1000</f>
        <v>18578.677724721398</v>
      </c>
      <c r="E53" s="70">
        <f>490955.586460475/1000</f>
        <v>490.95558646047499</v>
      </c>
      <c r="F53" s="70">
        <f>35802.412489632/1000</f>
        <v>35.802412489631998</v>
      </c>
      <c r="G53" s="70">
        <f>92703.837839172/1000</f>
        <v>92.70383783917201</v>
      </c>
      <c r="H53" s="70">
        <f>7203879.86178855/1000</f>
        <v>7203.8798617885504</v>
      </c>
      <c r="I53" s="70">
        <f>570720.534139416/1000</f>
        <v>570.72053413941592</v>
      </c>
      <c r="J53" s="156" t="s">
        <v>17</v>
      </c>
      <c r="K53" s="71">
        <f>SUM(D53:I53)</f>
        <v>26972.739957438644</v>
      </c>
      <c r="L53" s="70">
        <v>19024.691087665899</v>
      </c>
      <c r="M53" s="70">
        <v>9760.1480319945003</v>
      </c>
      <c r="N53" s="70">
        <v>0.74147430000000003</v>
      </c>
      <c r="O53" s="70">
        <v>90.926236518400103</v>
      </c>
      <c r="P53" s="70">
        <v>4705.9670434229001</v>
      </c>
      <c r="Q53" s="70">
        <v>150.29437947229999</v>
      </c>
      <c r="R53" s="156" t="s">
        <v>17</v>
      </c>
      <c r="S53" s="71">
        <f>SUM(L53:Q53)</f>
        <v>33732.768253374001</v>
      </c>
      <c r="T53" s="70">
        <v>22608.860385576325</v>
      </c>
      <c r="U53" s="70">
        <v>9453.068918241901</v>
      </c>
      <c r="V53" s="70">
        <v>111.43087172756931</v>
      </c>
      <c r="W53" s="70">
        <v>1380.7940191876689</v>
      </c>
      <c r="X53" s="70">
        <v>339.6913342790894</v>
      </c>
      <c r="Y53" s="70">
        <v>1639.6663901661789</v>
      </c>
      <c r="Z53" s="70"/>
      <c r="AA53" s="71">
        <f>SUM(T53:X53)</f>
        <v>33893.845529012549</v>
      </c>
      <c r="AB53" s="70">
        <v>6622.1715536490465</v>
      </c>
      <c r="AC53" s="70">
        <v>19825.896403809536</v>
      </c>
      <c r="AD53" s="70">
        <v>1356.0019690476188</v>
      </c>
      <c r="AE53" s="70">
        <v>1536.3465630952376</v>
      </c>
      <c r="AF53" s="70">
        <v>415.82861775571416</v>
      </c>
      <c r="AG53" s="70"/>
      <c r="AH53" s="71">
        <f>SUM(AB53:AF53)</f>
        <v>29756.24510735715</v>
      </c>
    </row>
    <row r="54" spans="2:36" ht="16">
      <c r="C54" s="11" t="s">
        <v>396</v>
      </c>
      <c r="D54" s="70">
        <f>53494631.7148133/1000</f>
        <v>53494.631714813302</v>
      </c>
      <c r="E54" s="70">
        <f>17593468.8732976/1000</f>
        <v>17593.468873297599</v>
      </c>
      <c r="F54" s="70">
        <f>133329.691480284/1000</f>
        <v>133.329691480284</v>
      </c>
      <c r="G54" s="70">
        <f>1931108.06891518/1000</f>
        <v>1931.10806891518</v>
      </c>
      <c r="H54" s="70">
        <f>17380113.1084192/1000</f>
        <v>17380.113108419198</v>
      </c>
      <c r="I54" s="70">
        <f>517957.271677656/1000</f>
        <v>517.95727167765597</v>
      </c>
      <c r="J54" s="156"/>
      <c r="K54" s="71">
        <f>SUM(D54:I54)</f>
        <v>91050.608728603227</v>
      </c>
      <c r="L54" s="70">
        <v>35642.0245979272</v>
      </c>
      <c r="M54" s="70">
        <v>11057.8308479099</v>
      </c>
      <c r="N54" s="70">
        <v>168.71898989740001</v>
      </c>
      <c r="O54" s="70">
        <v>992.80642091180005</v>
      </c>
      <c r="P54" s="70">
        <v>13750.6521498855</v>
      </c>
      <c r="Q54" s="70">
        <v>198.79952907500001</v>
      </c>
      <c r="R54" s="156"/>
      <c r="S54" s="71">
        <f>SUM(L54:Q54)</f>
        <v>61810.832535606802</v>
      </c>
      <c r="T54" s="70">
        <v>29747.116402859156</v>
      </c>
      <c r="U54" s="70">
        <v>10438.431213312531</v>
      </c>
      <c r="V54" s="70">
        <v>739.21308034372066</v>
      </c>
      <c r="W54" s="70">
        <v>4554.784024462765</v>
      </c>
      <c r="X54" s="70">
        <v>4071.5981306086028</v>
      </c>
      <c r="Y54" s="70">
        <v>4388.6308455991184</v>
      </c>
      <c r="Z54" s="70"/>
      <c r="AA54" s="71"/>
      <c r="AB54" s="70">
        <v>36059.27976083161</v>
      </c>
      <c r="AC54" s="70">
        <v>5419.9249434538115</v>
      </c>
      <c r="AD54" s="70">
        <v>1274.2669370792387</v>
      </c>
      <c r="AE54" s="70">
        <v>10897.960206906724</v>
      </c>
      <c r="AF54" s="70">
        <v>4135.9281217423313</v>
      </c>
      <c r="AG54" s="70"/>
      <c r="AH54" s="71">
        <f>SUM(AB54:AF54)</f>
        <v>57787.35997001372</v>
      </c>
    </row>
    <row r="55" spans="2:36" ht="16">
      <c r="C55" s="11" t="s">
        <v>391</v>
      </c>
      <c r="D55" s="70">
        <f>431254.303306908/1000</f>
        <v>431.25430330690801</v>
      </c>
      <c r="E55" s="70">
        <f>134284.187676372/1000</f>
        <v>134.284187676372</v>
      </c>
      <c r="F55" s="70">
        <v>0</v>
      </c>
      <c r="G55" s="70">
        <f>22174.51575456/1000</f>
        <v>22.174515754560002</v>
      </c>
      <c r="H55" s="70">
        <f>3914079.85562029/1000</f>
        <v>3914.0798556202903</v>
      </c>
      <c r="I55" s="70">
        <v>0</v>
      </c>
      <c r="J55" s="156"/>
      <c r="K55" s="71">
        <f>SUM(D55:I55)</f>
        <v>4501.7928623581302</v>
      </c>
      <c r="L55" s="70">
        <v>131.3372119691</v>
      </c>
      <c r="M55" s="70">
        <v>20.466679880000001</v>
      </c>
      <c r="N55" s="70">
        <v>0</v>
      </c>
      <c r="O55" s="70">
        <v>0</v>
      </c>
      <c r="P55" s="70">
        <v>14167.050463891301</v>
      </c>
      <c r="Q55" s="70">
        <v>0</v>
      </c>
      <c r="R55" s="156"/>
      <c r="S55" s="71">
        <f>SUM(L55:Q55)</f>
        <v>14318.854355740401</v>
      </c>
      <c r="T55" s="70">
        <v>227.34095864855786</v>
      </c>
      <c r="U55" s="70">
        <v>428.5246162203515</v>
      </c>
      <c r="V55" s="70">
        <v>0</v>
      </c>
      <c r="W55" s="70">
        <v>89.749671651357374</v>
      </c>
      <c r="X55" s="70">
        <v>543.79428387433961</v>
      </c>
      <c r="Y55" s="70">
        <v>396.71466556946115</v>
      </c>
      <c r="Z55" s="70"/>
      <c r="AA55" s="71"/>
      <c r="AB55" s="70">
        <v>1942.5511509066184</v>
      </c>
      <c r="AC55" s="70">
        <v>2328.7876172000474</v>
      </c>
      <c r="AD55" s="70">
        <v>13.084984139523808</v>
      </c>
      <c r="AE55" s="70">
        <v>125.65263790571427</v>
      </c>
      <c r="AF55" s="70">
        <v>26.372085466666668</v>
      </c>
      <c r="AG55" s="70"/>
      <c r="AH55" s="71">
        <f>SUM(AB55:AF55)</f>
        <v>4436.4484756185702</v>
      </c>
    </row>
    <row r="56" spans="2:36" s="15" customFormat="1" ht="16">
      <c r="C56" s="16" t="s">
        <v>399</v>
      </c>
      <c r="D56" s="106">
        <f>SUM(D53:D55)</f>
        <v>72504.563742841608</v>
      </c>
      <c r="E56" s="106">
        <f t="shared" ref="E56:I56" si="45">SUM(E53:E55)</f>
        <v>18218.708647434443</v>
      </c>
      <c r="F56" s="106">
        <f t="shared" si="45"/>
        <v>169.13210396991599</v>
      </c>
      <c r="G56" s="106">
        <f t="shared" si="45"/>
        <v>2045.9864225089118</v>
      </c>
      <c r="H56" s="106">
        <f t="shared" si="45"/>
        <v>28498.07282582804</v>
      </c>
      <c r="I56" s="106">
        <f t="shared" si="45"/>
        <v>1088.6778058170719</v>
      </c>
      <c r="J56" s="156"/>
      <c r="K56" s="108">
        <f>SUM(D56:I56)</f>
        <v>122525.14154839999</v>
      </c>
      <c r="L56" s="106">
        <f>SUM(L53:L55)</f>
        <v>54798.052897562193</v>
      </c>
      <c r="M56" s="106">
        <f t="shared" ref="M56:Q56" si="46">SUM(M53:M55)</f>
        <v>20838.445559784399</v>
      </c>
      <c r="N56" s="106">
        <f t="shared" si="46"/>
        <v>169.4604641974</v>
      </c>
      <c r="O56" s="106">
        <f t="shared" si="46"/>
        <v>1083.7326574302001</v>
      </c>
      <c r="P56" s="106">
        <f t="shared" si="46"/>
        <v>32623.669657199702</v>
      </c>
      <c r="Q56" s="106">
        <f t="shared" si="46"/>
        <v>349.09390854729997</v>
      </c>
      <c r="R56" s="156"/>
      <c r="S56" s="159">
        <f>SUM(L56:Q56)</f>
        <v>109862.45514472119</v>
      </c>
      <c r="T56" s="106">
        <f t="shared" ref="T56:Y56" si="47">SUM(T53:T55)</f>
        <v>52583.317747084038</v>
      </c>
      <c r="U56" s="106">
        <f t="shared" si="47"/>
        <v>20320.024747774783</v>
      </c>
      <c r="V56" s="106">
        <f t="shared" si="47"/>
        <v>850.64395207128996</v>
      </c>
      <c r="W56" s="106">
        <f t="shared" si="47"/>
        <v>6025.3277153017907</v>
      </c>
      <c r="X56" s="106">
        <f t="shared" si="47"/>
        <v>4955.0837487620311</v>
      </c>
      <c r="Y56" s="106">
        <f t="shared" si="47"/>
        <v>6425.0119013347585</v>
      </c>
      <c r="Z56" s="106"/>
      <c r="AA56" s="107">
        <f t="shared" ref="AA56:AF56" si="48">SUM(AA53:AA55)</f>
        <v>33893.845529012549</v>
      </c>
      <c r="AB56" s="106">
        <f t="shared" si="48"/>
        <v>44624.002465387275</v>
      </c>
      <c r="AC56" s="106">
        <f t="shared" si="48"/>
        <v>27574.608964463394</v>
      </c>
      <c r="AD56" s="106">
        <f t="shared" si="48"/>
        <v>2643.3538902663813</v>
      </c>
      <c r="AE56" s="106">
        <f t="shared" si="48"/>
        <v>12559.959407907676</v>
      </c>
      <c r="AF56" s="106">
        <f t="shared" si="48"/>
        <v>4578.1288249647114</v>
      </c>
      <c r="AG56" s="106"/>
      <c r="AH56" s="108">
        <f>SUM(AB56:AF56)</f>
        <v>91980.053552989441</v>
      </c>
    </row>
    <row r="57" spans="2:36" ht="16" customHeight="1" thickBot="1">
      <c r="B57" s="27"/>
      <c r="C57" s="28"/>
      <c r="D57" s="29"/>
      <c r="E57" s="29"/>
      <c r="F57" s="29"/>
      <c r="G57" s="29"/>
      <c r="H57" s="29"/>
      <c r="I57" s="29"/>
      <c r="J57" s="29"/>
      <c r="K57" s="155"/>
      <c r="L57" s="29"/>
      <c r="M57" s="29"/>
      <c r="N57" s="29"/>
      <c r="O57" s="29"/>
      <c r="P57" s="29"/>
      <c r="Q57" s="29"/>
      <c r="R57" s="29"/>
      <c r="S57" s="30"/>
      <c r="T57" s="29"/>
      <c r="U57" s="29"/>
      <c r="V57" s="29"/>
      <c r="W57" s="29"/>
      <c r="X57" s="29"/>
      <c r="Y57" s="29"/>
      <c r="Z57" s="29"/>
      <c r="AA57" s="29"/>
      <c r="AB57" s="29"/>
      <c r="AC57" s="29"/>
      <c r="AD57" s="29"/>
      <c r="AE57" s="29"/>
      <c r="AF57" s="29"/>
      <c r="AG57" s="29"/>
      <c r="AH57" s="29"/>
      <c r="AI57" s="22"/>
    </row>
    <row r="58" spans="2:36">
      <c r="B58" s="10" t="s">
        <v>400</v>
      </c>
      <c r="C58" s="11"/>
      <c r="X58" s="2"/>
      <c r="AH58" s="2"/>
    </row>
    <row r="59" spans="2:36" s="12" customFormat="1" ht="16">
      <c r="C59" s="160" t="s">
        <v>401</v>
      </c>
      <c r="D59" s="12">
        <v>1283</v>
      </c>
      <c r="E59" s="12">
        <v>0</v>
      </c>
      <c r="F59" s="12">
        <v>0</v>
      </c>
      <c r="G59" s="12">
        <v>0</v>
      </c>
      <c r="H59" s="12">
        <v>0</v>
      </c>
      <c r="I59" s="39" t="s">
        <v>17</v>
      </c>
      <c r="J59" s="39" t="s">
        <v>17</v>
      </c>
      <c r="K59" s="13">
        <f>SUM(D59:I59)</f>
        <v>1283</v>
      </c>
      <c r="L59" s="12">
        <v>1054</v>
      </c>
      <c r="M59" s="12">
        <v>0</v>
      </c>
      <c r="N59" s="12">
        <v>0</v>
      </c>
      <c r="O59" s="12">
        <v>0</v>
      </c>
      <c r="P59" s="12">
        <v>0</v>
      </c>
      <c r="Q59" s="39" t="s">
        <v>17</v>
      </c>
      <c r="R59" s="39" t="s">
        <v>17</v>
      </c>
      <c r="S59" s="13">
        <f>SUM(L59:Q59)</f>
        <v>1054</v>
      </c>
      <c r="T59" s="12">
        <v>1102</v>
      </c>
      <c r="AA59" s="13">
        <f>SUM(T59:X59)</f>
        <v>1102</v>
      </c>
      <c r="AH59" s="13">
        <f>SUM(AB59:AF59)</f>
        <v>0</v>
      </c>
    </row>
    <row r="60" spans="2:36">
      <c r="B60" s="26" t="s">
        <v>402</v>
      </c>
      <c r="AI60" s="12"/>
    </row>
    <row r="61" spans="2:36" ht="16" customHeight="1" thickBot="1">
      <c r="B61" s="27"/>
      <c r="C61" s="28"/>
      <c r="D61" s="29"/>
      <c r="E61" s="29"/>
      <c r="F61" s="29"/>
      <c r="G61" s="29"/>
      <c r="H61" s="29"/>
      <c r="I61" s="29"/>
      <c r="J61" s="29"/>
      <c r="K61" s="30"/>
      <c r="L61" s="29"/>
      <c r="M61" s="29"/>
      <c r="N61" s="29"/>
      <c r="O61" s="29"/>
      <c r="P61" s="29"/>
      <c r="Q61" s="29"/>
      <c r="R61" s="29"/>
      <c r="S61" s="30"/>
      <c r="T61" s="29"/>
      <c r="U61" s="29"/>
      <c r="V61" s="29"/>
      <c r="W61" s="29"/>
      <c r="X61" s="29"/>
      <c r="Y61" s="29"/>
      <c r="Z61" s="29"/>
      <c r="AA61" s="29"/>
      <c r="AB61" s="29"/>
      <c r="AC61" s="29"/>
      <c r="AD61" s="29"/>
      <c r="AE61" s="29"/>
      <c r="AF61" s="29"/>
      <c r="AG61" s="29"/>
      <c r="AH61" s="29"/>
      <c r="AI61" s="12"/>
      <c r="AJ61" s="22"/>
    </row>
    <row r="62" spans="2:36">
      <c r="B62" s="10" t="s">
        <v>403</v>
      </c>
      <c r="C62" s="11"/>
      <c r="X62" s="2"/>
      <c r="AH62" s="2"/>
      <c r="AI62" s="12"/>
    </row>
    <row r="63" spans="2:36" ht="16">
      <c r="C63" s="11" t="s">
        <v>404</v>
      </c>
      <c r="D63" s="70">
        <v>0</v>
      </c>
      <c r="E63" s="70">
        <v>0</v>
      </c>
      <c r="F63" s="70">
        <v>0</v>
      </c>
      <c r="G63" s="70">
        <v>0</v>
      </c>
      <c r="H63" s="70">
        <v>0</v>
      </c>
      <c r="I63" s="70">
        <v>0</v>
      </c>
      <c r="J63" s="70">
        <v>0</v>
      </c>
      <c r="K63" s="161">
        <f>SUM(D63:J63)</f>
        <v>0</v>
      </c>
      <c r="L63" s="70">
        <v>0</v>
      </c>
      <c r="M63" s="70">
        <v>0</v>
      </c>
      <c r="N63" s="70">
        <v>0</v>
      </c>
      <c r="O63" s="70">
        <v>0</v>
      </c>
      <c r="P63" s="70">
        <v>0</v>
      </c>
      <c r="Q63" s="70">
        <v>0</v>
      </c>
      <c r="R63" s="70">
        <v>0</v>
      </c>
      <c r="S63" s="161">
        <f>SUM(L63:R63)</f>
        <v>0</v>
      </c>
      <c r="T63" s="70">
        <v>0</v>
      </c>
      <c r="U63" s="70">
        <v>0</v>
      </c>
      <c r="V63" s="70">
        <v>0</v>
      </c>
      <c r="W63" s="70">
        <v>0</v>
      </c>
      <c r="X63" s="70">
        <v>0</v>
      </c>
      <c r="Y63" s="70">
        <v>0</v>
      </c>
      <c r="Z63" s="70">
        <v>0</v>
      </c>
      <c r="AA63" s="161">
        <v>0</v>
      </c>
      <c r="AB63" s="70">
        <v>0</v>
      </c>
      <c r="AC63" s="70">
        <v>0</v>
      </c>
      <c r="AD63" s="70">
        <v>0</v>
      </c>
      <c r="AE63" s="70">
        <v>0</v>
      </c>
      <c r="AF63" s="70">
        <v>0</v>
      </c>
      <c r="AG63" s="70">
        <v>0</v>
      </c>
      <c r="AH63" s="161">
        <v>0</v>
      </c>
      <c r="AI63" s="12"/>
    </row>
    <row r="64" spans="2:36" ht="16">
      <c r="C64" s="11" t="s">
        <v>405</v>
      </c>
      <c r="D64" s="70">
        <v>0</v>
      </c>
      <c r="E64" s="70">
        <v>0</v>
      </c>
      <c r="F64" s="70">
        <v>0</v>
      </c>
      <c r="G64" s="70">
        <v>0</v>
      </c>
      <c r="H64" s="70">
        <v>0</v>
      </c>
      <c r="I64" s="70">
        <v>0</v>
      </c>
      <c r="J64" s="70">
        <v>0</v>
      </c>
      <c r="K64" s="161">
        <f>SUM(D64:J64)</f>
        <v>0</v>
      </c>
      <c r="L64" s="70">
        <v>14</v>
      </c>
      <c r="M64" s="70">
        <v>274.23</v>
      </c>
      <c r="N64" s="70">
        <v>0</v>
      </c>
      <c r="O64" s="70">
        <v>0</v>
      </c>
      <c r="P64" s="70">
        <v>0</v>
      </c>
      <c r="Q64" s="70">
        <v>0</v>
      </c>
      <c r="R64" s="70">
        <v>0</v>
      </c>
      <c r="S64" s="161">
        <f>SUM(L64:R64)</f>
        <v>288.23</v>
      </c>
      <c r="T64" s="70">
        <v>0</v>
      </c>
      <c r="U64" s="70">
        <v>0</v>
      </c>
      <c r="V64" s="70">
        <v>0</v>
      </c>
      <c r="W64" s="70">
        <v>0</v>
      </c>
      <c r="X64" s="70">
        <v>0</v>
      </c>
      <c r="Y64" s="70">
        <v>0</v>
      </c>
      <c r="Z64" s="70">
        <v>0</v>
      </c>
      <c r="AA64" s="161">
        <v>0</v>
      </c>
      <c r="AB64" s="70">
        <v>0</v>
      </c>
      <c r="AC64" s="70">
        <v>0</v>
      </c>
      <c r="AD64" s="70">
        <v>0</v>
      </c>
      <c r="AE64" s="70">
        <v>0</v>
      </c>
      <c r="AF64" s="70">
        <v>0</v>
      </c>
      <c r="AG64" s="70">
        <v>0</v>
      </c>
      <c r="AH64" s="161">
        <v>0</v>
      </c>
      <c r="AI64" s="12"/>
    </row>
    <row r="65" spans="2:36" ht="16">
      <c r="C65" s="11" t="s">
        <v>406</v>
      </c>
      <c r="D65" s="70">
        <v>0</v>
      </c>
      <c r="E65" s="70">
        <v>0</v>
      </c>
      <c r="F65" s="70">
        <v>0</v>
      </c>
      <c r="G65" s="70">
        <v>0</v>
      </c>
      <c r="H65" s="70">
        <v>0</v>
      </c>
      <c r="I65" s="70">
        <v>0</v>
      </c>
      <c r="J65" s="70">
        <v>0</v>
      </c>
      <c r="K65" s="161">
        <f>SUM(D65:J65)</f>
        <v>0</v>
      </c>
      <c r="L65" s="70">
        <v>0</v>
      </c>
      <c r="M65" s="70">
        <v>0</v>
      </c>
      <c r="N65" s="70">
        <v>0</v>
      </c>
      <c r="O65" s="70">
        <v>0</v>
      </c>
      <c r="P65" s="70">
        <v>0</v>
      </c>
      <c r="Q65" s="70">
        <v>0</v>
      </c>
      <c r="R65" s="70">
        <v>0</v>
      </c>
      <c r="S65" s="161">
        <f>SUM(L65:R65)</f>
        <v>0</v>
      </c>
      <c r="T65" s="70">
        <v>0</v>
      </c>
      <c r="U65" s="70">
        <v>0</v>
      </c>
      <c r="V65" s="70">
        <v>0</v>
      </c>
      <c r="W65" s="70">
        <v>0</v>
      </c>
      <c r="X65" s="70">
        <v>0</v>
      </c>
      <c r="Y65" s="70">
        <v>0</v>
      </c>
      <c r="Z65" s="70">
        <v>0</v>
      </c>
      <c r="AA65" s="161">
        <v>0</v>
      </c>
      <c r="AB65" s="70">
        <v>0</v>
      </c>
      <c r="AC65" s="70">
        <v>0</v>
      </c>
      <c r="AD65" s="70">
        <v>0</v>
      </c>
      <c r="AE65" s="70">
        <v>0</v>
      </c>
      <c r="AF65" s="70">
        <v>0</v>
      </c>
      <c r="AG65" s="70">
        <v>0</v>
      </c>
      <c r="AH65" s="161">
        <v>0</v>
      </c>
      <c r="AI65" s="12"/>
    </row>
    <row r="66" spans="2:36" ht="16">
      <c r="B66" s="26" t="s">
        <v>407</v>
      </c>
      <c r="E66" s="162"/>
      <c r="M66" s="162"/>
      <c r="AI66" s="12"/>
    </row>
    <row r="67" spans="2:36" ht="16" customHeight="1" thickBot="1">
      <c r="B67" s="27"/>
      <c r="C67" s="28"/>
      <c r="D67" s="29"/>
      <c r="E67" s="29"/>
      <c r="F67" s="29"/>
      <c r="G67" s="29"/>
      <c r="H67" s="29"/>
      <c r="I67" s="29"/>
      <c r="J67" s="29"/>
      <c r="K67" s="30"/>
      <c r="L67" s="29"/>
      <c r="M67" s="29"/>
      <c r="N67" s="29"/>
      <c r="O67" s="29"/>
      <c r="P67" s="29"/>
      <c r="Q67" s="29"/>
      <c r="R67" s="29"/>
      <c r="S67" s="30"/>
      <c r="T67" s="29"/>
      <c r="U67" s="29"/>
      <c r="V67" s="29"/>
      <c r="W67" s="29"/>
      <c r="X67" s="29"/>
      <c r="Y67" s="29"/>
      <c r="Z67" s="29"/>
      <c r="AA67" s="29"/>
      <c r="AB67" s="29"/>
      <c r="AC67" s="29"/>
      <c r="AD67" s="29"/>
      <c r="AE67" s="29"/>
      <c r="AF67" s="29"/>
      <c r="AG67" s="29"/>
      <c r="AH67" s="29"/>
      <c r="AI67" s="12"/>
      <c r="AJ67" s="22"/>
    </row>
    <row r="68" spans="2:36" hidden="1">
      <c r="B68" s="2" t="s">
        <v>51</v>
      </c>
      <c r="AI68" s="12"/>
    </row>
    <row r="69" spans="2:36" hidden="1">
      <c r="B69" s="163" t="s">
        <v>52</v>
      </c>
      <c r="C69" s="2">
        <v>13.1372</v>
      </c>
    </row>
    <row r="70" spans="2:36" hidden="1">
      <c r="B70" s="163" t="s">
        <v>53</v>
      </c>
      <c r="C70" s="2">
        <v>7.6154200000000005E-2</v>
      </c>
    </row>
    <row r="71" spans="2:36" hidden="1">
      <c r="B71" s="163"/>
    </row>
    <row r="72" spans="2:36" hidden="1">
      <c r="B72" s="163" t="s">
        <v>54</v>
      </c>
      <c r="C72" s="2">
        <v>17.731000000000002</v>
      </c>
    </row>
    <row r="73" spans="2:36" hidden="1">
      <c r="B73" s="163" t="s">
        <v>55</v>
      </c>
      <c r="C73" s="2">
        <v>5.6446799999999998E-2</v>
      </c>
    </row>
    <row r="74" spans="2:36" hidden="1">
      <c r="B74" s="163"/>
    </row>
    <row r="75" spans="2:36" hidden="1">
      <c r="B75" s="163" t="s">
        <v>56</v>
      </c>
      <c r="C75" s="2">
        <v>1.34934</v>
      </c>
    </row>
    <row r="76" spans="2:36" hidden="1">
      <c r="B76" s="163" t="s">
        <v>57</v>
      </c>
      <c r="C76" s="2">
        <v>0.74103399999999997</v>
      </c>
    </row>
    <row r="77" spans="2:36" hidden="1">
      <c r="B77" s="66"/>
      <c r="C77" s="2">
        <v>1000</v>
      </c>
    </row>
    <row r="78" spans="2:36">
      <c r="B78" s="66"/>
    </row>
    <row r="79" spans="2:36">
      <c r="B79" s="66"/>
    </row>
    <row r="80" spans="2:36">
      <c r="B80" s="66"/>
    </row>
    <row r="81" spans="2:2">
      <c r="B81" s="66"/>
    </row>
    <row r="82" spans="2:2">
      <c r="B82" s="66"/>
    </row>
    <row r="83" spans="2:2">
      <c r="B83" s="66"/>
    </row>
    <row r="84" spans="2:2">
      <c r="B84" s="66"/>
    </row>
    <row r="85" spans="2:2">
      <c r="B85" s="66"/>
    </row>
    <row r="86" spans="2:2">
      <c r="B86" s="66"/>
    </row>
    <row r="87" spans="2:2">
      <c r="B87" s="66"/>
    </row>
    <row r="88" spans="2:2">
      <c r="B88" s="66"/>
    </row>
    <row r="89" spans="2:2">
      <c r="B89" s="66"/>
    </row>
    <row r="90" spans="2:2">
      <c r="B90" s="66"/>
    </row>
    <row r="91" spans="2:2">
      <c r="B91" s="66"/>
    </row>
    <row r="92" spans="2:2">
      <c r="B92" s="66"/>
    </row>
    <row r="93" spans="2:2">
      <c r="B93" s="66"/>
    </row>
    <row r="94" spans="2:2">
      <c r="B94" s="66"/>
    </row>
    <row r="95" spans="2:2">
      <c r="B95" s="66"/>
    </row>
    <row r="96" spans="2:2">
      <c r="B96" s="66"/>
    </row>
    <row r="97" spans="2:2">
      <c r="B97" s="66"/>
    </row>
    <row r="98" spans="2:2">
      <c r="B98" s="66"/>
    </row>
    <row r="99" spans="2:2">
      <c r="B99" s="66"/>
    </row>
    <row r="100" spans="2:2">
      <c r="B100" s="66"/>
    </row>
    <row r="101" spans="2:2">
      <c r="B101" s="66"/>
    </row>
    <row r="102" spans="2:2">
      <c r="B102" s="66"/>
    </row>
    <row r="103" spans="2:2">
      <c r="B103" s="66"/>
    </row>
    <row r="104" spans="2:2">
      <c r="B104" s="66"/>
    </row>
    <row r="105" spans="2:2">
      <c r="B105" s="66"/>
    </row>
    <row r="106" spans="2:2">
      <c r="B106" s="66"/>
    </row>
    <row r="107" spans="2:2">
      <c r="B107" s="66"/>
    </row>
    <row r="108" spans="2:2">
      <c r="B108" s="66"/>
    </row>
    <row r="109" spans="2:2">
      <c r="B109" s="66"/>
    </row>
    <row r="110" spans="2:2">
      <c r="B110" s="66"/>
    </row>
    <row r="111" spans="2:2">
      <c r="B111" s="66"/>
    </row>
    <row r="112" spans="2:2">
      <c r="B112" s="66"/>
    </row>
    <row r="113" spans="2:2">
      <c r="B113" s="66"/>
    </row>
    <row r="114" spans="2:2">
      <c r="B114" s="66"/>
    </row>
    <row r="115" spans="2:2">
      <c r="B115" s="66"/>
    </row>
    <row r="116" spans="2:2">
      <c r="B116" s="66"/>
    </row>
    <row r="117" spans="2:2">
      <c r="B117" s="66"/>
    </row>
    <row r="118" spans="2:2">
      <c r="B118" s="66"/>
    </row>
    <row r="119" spans="2:2">
      <c r="B119" s="66"/>
    </row>
    <row r="120" spans="2:2">
      <c r="B120" s="66"/>
    </row>
    <row r="121" spans="2:2">
      <c r="B121" s="66"/>
    </row>
    <row r="122" spans="2:2">
      <c r="B122" s="66"/>
    </row>
    <row r="123" spans="2:2">
      <c r="B123" s="66"/>
    </row>
    <row r="124" spans="2:2">
      <c r="B124" s="66"/>
    </row>
    <row r="125" spans="2:2">
      <c r="B125" s="66"/>
    </row>
    <row r="126" spans="2:2">
      <c r="B126" s="66"/>
    </row>
    <row r="127" spans="2:2">
      <c r="B127" s="66"/>
    </row>
    <row r="128" spans="2:2">
      <c r="B128" s="66"/>
    </row>
    <row r="129" spans="2:2">
      <c r="B129" s="66"/>
    </row>
    <row r="130" spans="2:2">
      <c r="B130" s="66"/>
    </row>
    <row r="131" spans="2:2">
      <c r="B131" s="66"/>
    </row>
    <row r="132" spans="2:2">
      <c r="B132" s="66"/>
    </row>
    <row r="133" spans="2:2">
      <c r="B133" s="66"/>
    </row>
    <row r="134" spans="2:2">
      <c r="B134" s="66"/>
    </row>
    <row r="135" spans="2:2">
      <c r="B135" s="66"/>
    </row>
    <row r="136" spans="2:2">
      <c r="B136" s="66"/>
    </row>
    <row r="137" spans="2:2">
      <c r="B137" s="66"/>
    </row>
    <row r="138" spans="2:2">
      <c r="B138" s="66"/>
    </row>
    <row r="139" spans="2:2">
      <c r="B139" s="66"/>
    </row>
    <row r="140" spans="2:2">
      <c r="B140" s="66"/>
    </row>
    <row r="141" spans="2:2">
      <c r="B141" s="66"/>
    </row>
    <row r="142" spans="2:2">
      <c r="B142" s="66"/>
    </row>
    <row r="143" spans="2:2">
      <c r="B143" s="66"/>
    </row>
    <row r="144" spans="2:2">
      <c r="B144" s="66"/>
    </row>
    <row r="145" spans="2:2">
      <c r="B145" s="66"/>
    </row>
    <row r="146" spans="2:2">
      <c r="B146" s="66"/>
    </row>
    <row r="147" spans="2:2">
      <c r="B147" s="66"/>
    </row>
    <row r="148" spans="2:2">
      <c r="B148" s="66"/>
    </row>
    <row r="149" spans="2:2">
      <c r="B149" s="66"/>
    </row>
    <row r="150" spans="2:2">
      <c r="B150" s="66"/>
    </row>
    <row r="151" spans="2:2">
      <c r="B151" s="66"/>
    </row>
    <row r="152" spans="2:2">
      <c r="B152" s="66"/>
    </row>
    <row r="153" spans="2:2">
      <c r="B153" s="66"/>
    </row>
    <row r="154" spans="2:2">
      <c r="B154" s="66"/>
    </row>
    <row r="155" spans="2:2">
      <c r="B155" s="66"/>
    </row>
    <row r="156" spans="2:2">
      <c r="B156" s="66"/>
    </row>
    <row r="157" spans="2:2">
      <c r="B157" s="66"/>
    </row>
    <row r="158" spans="2:2">
      <c r="B158" s="66"/>
    </row>
    <row r="159" spans="2:2">
      <c r="B159" s="66"/>
    </row>
    <row r="160" spans="2:2">
      <c r="B160" s="66"/>
    </row>
    <row r="161" spans="2:2">
      <c r="B161" s="66"/>
    </row>
    <row r="162" spans="2:2">
      <c r="B162" s="66"/>
    </row>
    <row r="163" spans="2:2">
      <c r="B163" s="66"/>
    </row>
    <row r="164" spans="2:2">
      <c r="B164" s="66"/>
    </row>
    <row r="165" spans="2:2">
      <c r="B165" s="66"/>
    </row>
    <row r="166" spans="2:2">
      <c r="B166" s="66"/>
    </row>
    <row r="167" spans="2:2">
      <c r="B167" s="66"/>
    </row>
    <row r="168" spans="2:2">
      <c r="B168" s="66"/>
    </row>
    <row r="169" spans="2:2">
      <c r="B169" s="66"/>
    </row>
    <row r="170" spans="2:2">
      <c r="B170" s="66"/>
    </row>
    <row r="171" spans="2:2">
      <c r="B171" s="66"/>
    </row>
    <row r="172" spans="2:2">
      <c r="B172" s="66"/>
    </row>
    <row r="173" spans="2:2">
      <c r="B173" s="66"/>
    </row>
    <row r="174" spans="2:2">
      <c r="B174" s="66"/>
    </row>
    <row r="175" spans="2:2">
      <c r="B175" s="66"/>
    </row>
    <row r="176" spans="2:2">
      <c r="B176" s="66"/>
    </row>
    <row r="177" spans="2:2">
      <c r="B177" s="66"/>
    </row>
    <row r="178" spans="2:2">
      <c r="B178" s="66"/>
    </row>
    <row r="179" spans="2:2">
      <c r="B179" s="66"/>
    </row>
    <row r="180" spans="2:2">
      <c r="B180" s="66"/>
    </row>
    <row r="181" spans="2:2">
      <c r="B181" s="66"/>
    </row>
    <row r="182" spans="2:2">
      <c r="B182" s="66"/>
    </row>
    <row r="183" spans="2:2">
      <c r="B183" s="66"/>
    </row>
    <row r="184" spans="2:2">
      <c r="B184" s="66"/>
    </row>
    <row r="185" spans="2:2">
      <c r="B185" s="66"/>
    </row>
    <row r="186" spans="2:2">
      <c r="B186" s="66"/>
    </row>
    <row r="187" spans="2:2">
      <c r="B187" s="66"/>
    </row>
    <row r="188" spans="2:2">
      <c r="B188" s="66"/>
    </row>
    <row r="189" spans="2:2">
      <c r="B189" s="66"/>
    </row>
    <row r="190" spans="2:2">
      <c r="B190" s="66"/>
    </row>
    <row r="191" spans="2:2">
      <c r="B191" s="66"/>
    </row>
    <row r="192" spans="2:2">
      <c r="B192" s="66"/>
    </row>
    <row r="193" spans="2:2">
      <c r="B193" s="66"/>
    </row>
    <row r="194" spans="2:2">
      <c r="B194" s="66"/>
    </row>
    <row r="195" spans="2:2">
      <c r="B195" s="66"/>
    </row>
    <row r="196" spans="2:2">
      <c r="B196" s="66"/>
    </row>
    <row r="197" spans="2:2">
      <c r="B197" s="66"/>
    </row>
    <row r="198" spans="2:2">
      <c r="B198" s="66"/>
    </row>
    <row r="199" spans="2:2">
      <c r="B199" s="66"/>
    </row>
    <row r="200" spans="2:2">
      <c r="B200" s="66"/>
    </row>
    <row r="201" spans="2:2">
      <c r="B201" s="66"/>
    </row>
    <row r="202" spans="2:2">
      <c r="B202" s="66"/>
    </row>
    <row r="203" spans="2:2">
      <c r="B203" s="66"/>
    </row>
    <row r="204" spans="2:2">
      <c r="B204" s="66"/>
    </row>
    <row r="205" spans="2:2">
      <c r="B205" s="66"/>
    </row>
    <row r="206" spans="2:2">
      <c r="B206" s="66"/>
    </row>
    <row r="207" spans="2:2">
      <c r="B207" s="66"/>
    </row>
    <row r="208" spans="2:2">
      <c r="B208" s="66"/>
    </row>
    <row r="209" spans="2:2">
      <c r="B209" s="66"/>
    </row>
    <row r="210" spans="2:2">
      <c r="B210" s="66"/>
    </row>
    <row r="211" spans="2:2">
      <c r="B211" s="66"/>
    </row>
    <row r="212" spans="2:2">
      <c r="B212" s="66"/>
    </row>
    <row r="213" spans="2:2">
      <c r="B213" s="66"/>
    </row>
    <row r="214" spans="2:2">
      <c r="B214" s="66"/>
    </row>
    <row r="215" spans="2:2">
      <c r="B215" s="66"/>
    </row>
    <row r="216" spans="2:2">
      <c r="B216" s="66"/>
    </row>
    <row r="217" spans="2:2">
      <c r="B217" s="66"/>
    </row>
    <row r="218" spans="2:2">
      <c r="B218" s="66"/>
    </row>
    <row r="219" spans="2:2">
      <c r="B219" s="66"/>
    </row>
    <row r="220" spans="2:2">
      <c r="B220" s="66"/>
    </row>
    <row r="221" spans="2:2">
      <c r="B221" s="66"/>
    </row>
    <row r="222" spans="2:2">
      <c r="B222" s="66"/>
    </row>
    <row r="223" spans="2:2">
      <c r="B223" s="66"/>
    </row>
    <row r="224" spans="2:2">
      <c r="B224" s="66"/>
    </row>
    <row r="225" spans="2:2">
      <c r="B225" s="66"/>
    </row>
    <row r="226" spans="2:2">
      <c r="B226" s="66"/>
    </row>
    <row r="227" spans="2:2">
      <c r="B227" s="66"/>
    </row>
    <row r="228" spans="2:2">
      <c r="B228" s="66"/>
    </row>
    <row r="229" spans="2:2">
      <c r="B229" s="66"/>
    </row>
    <row r="230" spans="2:2">
      <c r="B230" s="66"/>
    </row>
    <row r="231" spans="2:2">
      <c r="B231" s="66"/>
    </row>
    <row r="232" spans="2:2">
      <c r="B232" s="66"/>
    </row>
    <row r="233" spans="2:2">
      <c r="B233" s="66"/>
    </row>
    <row r="234" spans="2:2">
      <c r="B234" s="66"/>
    </row>
    <row r="235" spans="2:2">
      <c r="B235" s="66"/>
    </row>
    <row r="236" spans="2:2">
      <c r="B236" s="66"/>
    </row>
    <row r="237" spans="2:2">
      <c r="B237" s="66"/>
    </row>
    <row r="238" spans="2:2">
      <c r="B238" s="66"/>
    </row>
    <row r="239" spans="2:2">
      <c r="B239" s="66"/>
    </row>
    <row r="240" spans="2:2">
      <c r="B240" s="66"/>
    </row>
    <row r="241" spans="2:2">
      <c r="B241" s="66"/>
    </row>
    <row r="242" spans="2:2">
      <c r="B242" s="66"/>
    </row>
    <row r="243" spans="2:2">
      <c r="B243" s="66"/>
    </row>
    <row r="244" spans="2:2">
      <c r="B244" s="66"/>
    </row>
    <row r="245" spans="2:2">
      <c r="B245" s="66"/>
    </row>
    <row r="246" spans="2:2">
      <c r="B246" s="66"/>
    </row>
    <row r="247" spans="2:2">
      <c r="B247" s="66"/>
    </row>
    <row r="248" spans="2:2">
      <c r="B248" s="66"/>
    </row>
    <row r="249" spans="2:2">
      <c r="B249" s="66"/>
    </row>
    <row r="250" spans="2:2">
      <c r="B250" s="66"/>
    </row>
    <row r="251" spans="2:2">
      <c r="B251" s="66"/>
    </row>
    <row r="252" spans="2:2">
      <c r="B252" s="66"/>
    </row>
    <row r="253" spans="2:2">
      <c r="B253" s="66"/>
    </row>
    <row r="254" spans="2:2">
      <c r="B254" s="66"/>
    </row>
    <row r="255" spans="2:2">
      <c r="B255" s="66"/>
    </row>
    <row r="256" spans="2:2">
      <c r="B256" s="66"/>
    </row>
    <row r="257" spans="2:2">
      <c r="B257" s="66"/>
    </row>
    <row r="258" spans="2:2">
      <c r="B258" s="66"/>
    </row>
    <row r="259" spans="2:2">
      <c r="B259" s="66"/>
    </row>
    <row r="260" spans="2:2">
      <c r="B260" s="66"/>
    </row>
    <row r="261" spans="2:2">
      <c r="B261" s="66"/>
    </row>
    <row r="262" spans="2:2">
      <c r="B262" s="66"/>
    </row>
    <row r="263" spans="2:2">
      <c r="B263" s="66"/>
    </row>
    <row r="264" spans="2:2">
      <c r="B264" s="66"/>
    </row>
    <row r="265" spans="2:2">
      <c r="B265" s="66"/>
    </row>
    <row r="266" spans="2:2">
      <c r="B266" s="66"/>
    </row>
    <row r="267" spans="2:2">
      <c r="B267" s="66"/>
    </row>
    <row r="268" spans="2:2">
      <c r="B268" s="66"/>
    </row>
    <row r="269" spans="2:2">
      <c r="B269" s="66"/>
    </row>
    <row r="270" spans="2:2">
      <c r="B270" s="66"/>
    </row>
    <row r="271" spans="2:2">
      <c r="B271" s="66"/>
    </row>
    <row r="272" spans="2:2">
      <c r="B272" s="66"/>
    </row>
    <row r="273" spans="2:2">
      <c r="B273" s="66"/>
    </row>
    <row r="274" spans="2:2">
      <c r="B274" s="66"/>
    </row>
    <row r="275" spans="2:2">
      <c r="B275" s="66"/>
    </row>
    <row r="276" spans="2:2">
      <c r="B276" s="66"/>
    </row>
    <row r="277" spans="2:2">
      <c r="B277" s="66"/>
    </row>
    <row r="278" spans="2:2">
      <c r="B278" s="66"/>
    </row>
    <row r="279" spans="2:2">
      <c r="B279" s="66"/>
    </row>
    <row r="280" spans="2:2">
      <c r="B280" s="66"/>
    </row>
    <row r="281" spans="2:2">
      <c r="B281" s="66"/>
    </row>
    <row r="282" spans="2:2">
      <c r="B282" s="66"/>
    </row>
    <row r="283" spans="2:2">
      <c r="B283" s="66"/>
    </row>
    <row r="284" spans="2:2">
      <c r="B284" s="66"/>
    </row>
    <row r="285" spans="2:2">
      <c r="B285" s="66"/>
    </row>
    <row r="286" spans="2:2">
      <c r="B286" s="66"/>
    </row>
    <row r="287" spans="2:2">
      <c r="B287" s="66"/>
    </row>
    <row r="288" spans="2:2">
      <c r="B288" s="66"/>
    </row>
    <row r="289" spans="2:2">
      <c r="B289" s="66"/>
    </row>
    <row r="290" spans="2:2">
      <c r="B290" s="66"/>
    </row>
    <row r="291" spans="2:2">
      <c r="B291" s="66"/>
    </row>
    <row r="292" spans="2:2">
      <c r="B292" s="66"/>
    </row>
    <row r="293" spans="2:2">
      <c r="B293" s="66"/>
    </row>
    <row r="294" spans="2:2">
      <c r="B294" s="66"/>
    </row>
    <row r="295" spans="2:2">
      <c r="B295" s="66"/>
    </row>
    <row r="296" spans="2:2">
      <c r="B296" s="66"/>
    </row>
    <row r="297" spans="2:2">
      <c r="B297" s="66"/>
    </row>
    <row r="298" spans="2:2">
      <c r="B298" s="66"/>
    </row>
    <row r="299" spans="2:2">
      <c r="B299" s="66"/>
    </row>
    <row r="300" spans="2:2">
      <c r="B300" s="66"/>
    </row>
    <row r="301" spans="2:2">
      <c r="B301" s="66"/>
    </row>
    <row r="302" spans="2:2">
      <c r="B302" s="66"/>
    </row>
    <row r="303" spans="2:2">
      <c r="B303" s="66"/>
    </row>
    <row r="304" spans="2:2">
      <c r="B304" s="66"/>
    </row>
    <row r="305" spans="2:2">
      <c r="B305" s="66"/>
    </row>
    <row r="306" spans="2:2">
      <c r="B306" s="66"/>
    </row>
    <row r="307" spans="2:2">
      <c r="B307" s="66"/>
    </row>
    <row r="308" spans="2:2">
      <c r="B308" s="66"/>
    </row>
    <row r="309" spans="2:2">
      <c r="B309" s="66"/>
    </row>
    <row r="310" spans="2:2">
      <c r="B310" s="66"/>
    </row>
    <row r="311" spans="2:2">
      <c r="B311" s="66"/>
    </row>
    <row r="312" spans="2:2">
      <c r="B312" s="66"/>
    </row>
    <row r="313" spans="2:2">
      <c r="B313" s="66"/>
    </row>
    <row r="314" spans="2:2">
      <c r="B314" s="66"/>
    </row>
    <row r="315" spans="2:2">
      <c r="B315" s="66"/>
    </row>
    <row r="316" spans="2:2">
      <c r="B316" s="66"/>
    </row>
    <row r="317" spans="2:2">
      <c r="B317" s="66"/>
    </row>
    <row r="318" spans="2:2">
      <c r="B318" s="66"/>
    </row>
    <row r="319" spans="2:2">
      <c r="B319" s="66"/>
    </row>
    <row r="320" spans="2:2">
      <c r="B320" s="66"/>
    </row>
    <row r="321" spans="2:2">
      <c r="B321" s="66"/>
    </row>
    <row r="322" spans="2:2">
      <c r="B322" s="66"/>
    </row>
    <row r="323" spans="2:2">
      <c r="B323" s="66"/>
    </row>
    <row r="324" spans="2:2">
      <c r="B324" s="66"/>
    </row>
    <row r="325" spans="2:2">
      <c r="B325" s="66"/>
    </row>
    <row r="326" spans="2:2">
      <c r="B326" s="66"/>
    </row>
    <row r="327" spans="2:2">
      <c r="B327" s="66"/>
    </row>
    <row r="328" spans="2:2">
      <c r="B328" s="66"/>
    </row>
    <row r="329" spans="2:2">
      <c r="B329" s="66"/>
    </row>
    <row r="330" spans="2:2">
      <c r="B330" s="66"/>
    </row>
    <row r="331" spans="2:2">
      <c r="B331" s="66"/>
    </row>
    <row r="332" spans="2:2">
      <c r="B332" s="66"/>
    </row>
    <row r="333" spans="2:2">
      <c r="B333" s="66"/>
    </row>
    <row r="334" spans="2:2">
      <c r="B334" s="66"/>
    </row>
    <row r="335" spans="2:2">
      <c r="B335" s="66"/>
    </row>
    <row r="336" spans="2:2">
      <c r="B336" s="66"/>
    </row>
    <row r="337" spans="2:2">
      <c r="B337" s="66"/>
    </row>
    <row r="338" spans="2:2">
      <c r="B338" s="66"/>
    </row>
    <row r="339" spans="2:2">
      <c r="B339" s="66"/>
    </row>
    <row r="340" spans="2:2">
      <c r="B340" s="66"/>
    </row>
    <row r="341" spans="2:2">
      <c r="B341" s="66"/>
    </row>
    <row r="342" spans="2:2">
      <c r="B342" s="66"/>
    </row>
    <row r="343" spans="2:2">
      <c r="B343" s="66"/>
    </row>
    <row r="344" spans="2:2">
      <c r="B344" s="66"/>
    </row>
    <row r="345" spans="2:2">
      <c r="B345" s="66"/>
    </row>
    <row r="346" spans="2:2">
      <c r="B346" s="66"/>
    </row>
    <row r="347" spans="2:2">
      <c r="B347" s="66"/>
    </row>
    <row r="348" spans="2:2">
      <c r="B348" s="66"/>
    </row>
    <row r="349" spans="2:2">
      <c r="B349" s="66"/>
    </row>
    <row r="350" spans="2:2">
      <c r="B350" s="66"/>
    </row>
    <row r="351" spans="2:2">
      <c r="B351" s="66"/>
    </row>
    <row r="352" spans="2:2">
      <c r="B352" s="66"/>
    </row>
    <row r="353" spans="2:2">
      <c r="B353" s="66"/>
    </row>
    <row r="354" spans="2:2">
      <c r="B354" s="66"/>
    </row>
    <row r="355" spans="2:2">
      <c r="B355" s="66"/>
    </row>
    <row r="356" spans="2:2">
      <c r="B356" s="66"/>
    </row>
    <row r="357" spans="2:2">
      <c r="B357" s="66"/>
    </row>
    <row r="358" spans="2:2">
      <c r="B358" s="66"/>
    </row>
    <row r="359" spans="2:2">
      <c r="B359" s="66"/>
    </row>
    <row r="360" spans="2:2">
      <c r="B360" s="66"/>
    </row>
    <row r="361" spans="2:2">
      <c r="B361" s="66"/>
    </row>
    <row r="362" spans="2:2">
      <c r="B362" s="66"/>
    </row>
    <row r="363" spans="2:2">
      <c r="B363" s="66"/>
    </row>
    <row r="364" spans="2:2">
      <c r="B364" s="66"/>
    </row>
    <row r="365" spans="2:2">
      <c r="B365" s="66"/>
    </row>
    <row r="366" spans="2:2">
      <c r="B366" s="66"/>
    </row>
    <row r="367" spans="2:2">
      <c r="B367" s="66"/>
    </row>
    <row r="368" spans="2:2">
      <c r="B368" s="66"/>
    </row>
    <row r="369" spans="2:2">
      <c r="B369" s="66"/>
    </row>
    <row r="370" spans="2:2">
      <c r="B370" s="66"/>
    </row>
    <row r="371" spans="2:2">
      <c r="B371" s="66"/>
    </row>
    <row r="372" spans="2:2">
      <c r="B372" s="66"/>
    </row>
    <row r="373" spans="2:2">
      <c r="B373" s="66"/>
    </row>
    <row r="374" spans="2:2">
      <c r="B374" s="66"/>
    </row>
    <row r="375" spans="2:2">
      <c r="B375" s="66"/>
    </row>
    <row r="376" spans="2:2">
      <c r="B376" s="66"/>
    </row>
    <row r="377" spans="2:2">
      <c r="B377" s="66"/>
    </row>
    <row r="378" spans="2:2">
      <c r="B378" s="66"/>
    </row>
    <row r="379" spans="2:2">
      <c r="B379" s="66"/>
    </row>
    <row r="380" spans="2:2">
      <c r="B380" s="66"/>
    </row>
    <row r="381" spans="2:2">
      <c r="B381" s="66"/>
    </row>
    <row r="382" spans="2:2">
      <c r="B382" s="66"/>
    </row>
    <row r="383" spans="2:2">
      <c r="B383" s="66"/>
    </row>
    <row r="384" spans="2:2">
      <c r="B384" s="66"/>
    </row>
    <row r="385" spans="2:2">
      <c r="B385" s="66"/>
    </row>
    <row r="386" spans="2:2">
      <c r="B386" s="66"/>
    </row>
    <row r="387" spans="2:2">
      <c r="B387" s="66"/>
    </row>
    <row r="388" spans="2:2">
      <c r="B388" s="66"/>
    </row>
    <row r="389" spans="2:2">
      <c r="B389" s="66"/>
    </row>
    <row r="390" spans="2:2">
      <c r="B390" s="66"/>
    </row>
    <row r="391" spans="2:2">
      <c r="B391" s="66"/>
    </row>
    <row r="392" spans="2:2">
      <c r="B392" s="66"/>
    </row>
    <row r="393" spans="2:2">
      <c r="B393" s="66"/>
    </row>
    <row r="394" spans="2:2">
      <c r="B394" s="66"/>
    </row>
    <row r="395" spans="2:2">
      <c r="B395" s="66"/>
    </row>
    <row r="396" spans="2:2">
      <c r="B396" s="66"/>
    </row>
    <row r="397" spans="2:2">
      <c r="B397" s="66"/>
    </row>
    <row r="398" spans="2:2">
      <c r="B398" s="66"/>
    </row>
    <row r="399" spans="2:2">
      <c r="B399" s="66"/>
    </row>
    <row r="400" spans="2:2">
      <c r="B400" s="66"/>
    </row>
    <row r="401" spans="2:2">
      <c r="B401" s="66"/>
    </row>
    <row r="402" spans="2:2">
      <c r="B402" s="66"/>
    </row>
    <row r="403" spans="2:2">
      <c r="B403" s="66"/>
    </row>
    <row r="404" spans="2:2">
      <c r="B404" s="66"/>
    </row>
    <row r="405" spans="2:2">
      <c r="B405" s="66"/>
    </row>
    <row r="406" spans="2:2">
      <c r="B406" s="66"/>
    </row>
    <row r="407" spans="2:2">
      <c r="B407" s="66"/>
    </row>
    <row r="408" spans="2:2">
      <c r="B408" s="66"/>
    </row>
    <row r="409" spans="2:2">
      <c r="B409" s="66"/>
    </row>
    <row r="410" spans="2:2">
      <c r="B410" s="66"/>
    </row>
    <row r="411" spans="2:2">
      <c r="B411" s="66"/>
    </row>
    <row r="412" spans="2:2">
      <c r="B412" s="66"/>
    </row>
    <row r="413" spans="2:2">
      <c r="B413" s="66"/>
    </row>
    <row r="414" spans="2:2">
      <c r="B414" s="66"/>
    </row>
    <row r="415" spans="2:2">
      <c r="B415" s="66"/>
    </row>
    <row r="416" spans="2:2">
      <c r="B416" s="66"/>
    </row>
    <row r="417" spans="2:2">
      <c r="B417" s="66"/>
    </row>
    <row r="418" spans="2:2">
      <c r="B418" s="66"/>
    </row>
    <row r="419" spans="2:2">
      <c r="B419" s="66"/>
    </row>
    <row r="420" spans="2:2">
      <c r="B420" s="66"/>
    </row>
    <row r="421" spans="2:2">
      <c r="B421" s="66"/>
    </row>
    <row r="422" spans="2:2">
      <c r="B422" s="66"/>
    </row>
    <row r="423" spans="2:2">
      <c r="B423" s="66"/>
    </row>
    <row r="424" spans="2:2">
      <c r="B424" s="66"/>
    </row>
    <row r="425" spans="2:2">
      <c r="B425" s="66"/>
    </row>
    <row r="426" spans="2:2">
      <c r="B426" s="66"/>
    </row>
    <row r="427" spans="2:2">
      <c r="B427" s="66"/>
    </row>
    <row r="428" spans="2:2">
      <c r="B428" s="66"/>
    </row>
    <row r="429" spans="2:2">
      <c r="B429" s="66"/>
    </row>
    <row r="430" spans="2:2">
      <c r="B430" s="66"/>
    </row>
    <row r="431" spans="2:2">
      <c r="B431" s="66"/>
    </row>
    <row r="432" spans="2:2">
      <c r="B432" s="66"/>
    </row>
    <row r="433" spans="2:2">
      <c r="B433" s="66"/>
    </row>
    <row r="434" spans="2:2">
      <c r="B434" s="66"/>
    </row>
    <row r="435" spans="2:2">
      <c r="B435" s="66"/>
    </row>
    <row r="436" spans="2:2">
      <c r="B436" s="66"/>
    </row>
    <row r="437" spans="2:2">
      <c r="B437" s="66"/>
    </row>
    <row r="438" spans="2:2">
      <c r="B438" s="66"/>
    </row>
    <row r="439" spans="2:2">
      <c r="B439" s="66"/>
    </row>
    <row r="440" spans="2:2">
      <c r="B440" s="66"/>
    </row>
    <row r="441" spans="2:2">
      <c r="B441" s="66"/>
    </row>
    <row r="442" spans="2:2">
      <c r="B442" s="66"/>
    </row>
    <row r="443" spans="2:2">
      <c r="B443" s="66"/>
    </row>
    <row r="444" spans="2:2">
      <c r="B444" s="66"/>
    </row>
    <row r="445" spans="2:2">
      <c r="B445" s="66"/>
    </row>
    <row r="446" spans="2:2">
      <c r="B446" s="66"/>
    </row>
    <row r="447" spans="2:2">
      <c r="B447" s="66"/>
    </row>
    <row r="448" spans="2:2">
      <c r="B448" s="66"/>
    </row>
    <row r="449" spans="2:2">
      <c r="B449" s="66"/>
    </row>
    <row r="450" spans="2:2">
      <c r="B450" s="66"/>
    </row>
    <row r="451" spans="2:2">
      <c r="B451" s="66"/>
    </row>
    <row r="452" spans="2:2">
      <c r="B452" s="66"/>
    </row>
    <row r="453" spans="2:2">
      <c r="B453" s="66"/>
    </row>
    <row r="454" spans="2:2">
      <c r="B454" s="66"/>
    </row>
    <row r="455" spans="2:2">
      <c r="B455" s="66"/>
    </row>
    <row r="456" spans="2:2">
      <c r="B456" s="66"/>
    </row>
    <row r="457" spans="2:2">
      <c r="B457" s="66"/>
    </row>
    <row r="458" spans="2:2">
      <c r="B458" s="66"/>
    </row>
    <row r="459" spans="2:2">
      <c r="B459" s="66"/>
    </row>
    <row r="460" spans="2:2">
      <c r="B460" s="66"/>
    </row>
    <row r="461" spans="2:2">
      <c r="B461" s="66"/>
    </row>
    <row r="462" spans="2:2">
      <c r="B462" s="66"/>
    </row>
    <row r="463" spans="2:2">
      <c r="B463" s="66"/>
    </row>
    <row r="464" spans="2:2">
      <c r="B464" s="66"/>
    </row>
    <row r="465" spans="2:2">
      <c r="B465" s="66"/>
    </row>
    <row r="466" spans="2:2">
      <c r="B466" s="66"/>
    </row>
    <row r="467" spans="2:2">
      <c r="B467" s="66"/>
    </row>
    <row r="468" spans="2:2">
      <c r="B468" s="66"/>
    </row>
    <row r="469" spans="2:2">
      <c r="B469" s="66"/>
    </row>
    <row r="470" spans="2:2">
      <c r="B470" s="66"/>
    </row>
    <row r="471" spans="2:2">
      <c r="B471" s="66"/>
    </row>
    <row r="472" spans="2:2">
      <c r="B472" s="66"/>
    </row>
    <row r="473" spans="2:2">
      <c r="B473" s="66"/>
    </row>
    <row r="474" spans="2:2">
      <c r="B474" s="66"/>
    </row>
    <row r="475" spans="2:2">
      <c r="B475" s="66"/>
    </row>
    <row r="476" spans="2:2">
      <c r="B476" s="66"/>
    </row>
    <row r="477" spans="2:2">
      <c r="B477" s="66"/>
    </row>
    <row r="478" spans="2:2">
      <c r="B478" s="66"/>
    </row>
    <row r="479" spans="2:2">
      <c r="B479" s="66"/>
    </row>
    <row r="480" spans="2:2">
      <c r="B480" s="66"/>
    </row>
    <row r="481" spans="2:2">
      <c r="B481" s="66"/>
    </row>
    <row r="482" spans="2:2">
      <c r="B482" s="66"/>
    </row>
    <row r="483" spans="2:2">
      <c r="B483" s="66"/>
    </row>
    <row r="484" spans="2:2">
      <c r="B484" s="66"/>
    </row>
    <row r="485" spans="2:2">
      <c r="B485" s="66"/>
    </row>
    <row r="486" spans="2:2">
      <c r="B486" s="66"/>
    </row>
    <row r="487" spans="2:2">
      <c r="B487" s="66"/>
    </row>
    <row r="488" spans="2:2">
      <c r="B488" s="66"/>
    </row>
    <row r="489" spans="2:2">
      <c r="B489" s="66"/>
    </row>
    <row r="490" spans="2:2">
      <c r="B490" s="66"/>
    </row>
    <row r="491" spans="2:2">
      <c r="B491" s="66"/>
    </row>
    <row r="492" spans="2:2">
      <c r="B492" s="66"/>
    </row>
    <row r="493" spans="2:2">
      <c r="B493" s="66"/>
    </row>
    <row r="494" spans="2:2">
      <c r="B494" s="66"/>
    </row>
    <row r="495" spans="2:2">
      <c r="B495" s="66"/>
    </row>
    <row r="496" spans="2:2">
      <c r="B496" s="66"/>
    </row>
    <row r="497" spans="2:2">
      <c r="B497" s="66"/>
    </row>
    <row r="498" spans="2:2">
      <c r="B498" s="66"/>
    </row>
    <row r="499" spans="2:2">
      <c r="B499" s="66"/>
    </row>
    <row r="500" spans="2:2">
      <c r="B500" s="66"/>
    </row>
    <row r="501" spans="2:2">
      <c r="B501" s="66"/>
    </row>
    <row r="502" spans="2:2">
      <c r="B502" s="66"/>
    </row>
    <row r="503" spans="2:2">
      <c r="B503" s="66"/>
    </row>
    <row r="504" spans="2:2">
      <c r="B504" s="66"/>
    </row>
    <row r="505" spans="2:2">
      <c r="B505" s="66"/>
    </row>
    <row r="506" spans="2:2">
      <c r="B506" s="66"/>
    </row>
    <row r="507" spans="2:2">
      <c r="B507" s="66"/>
    </row>
    <row r="508" spans="2:2">
      <c r="B508" s="66"/>
    </row>
    <row r="509" spans="2:2">
      <c r="B509" s="66"/>
    </row>
    <row r="510" spans="2:2">
      <c r="B510" s="66"/>
    </row>
    <row r="511" spans="2:2">
      <c r="B511" s="66"/>
    </row>
    <row r="512" spans="2:2">
      <c r="B512" s="66"/>
    </row>
    <row r="513" spans="2:2">
      <c r="B513" s="66"/>
    </row>
    <row r="514" spans="2:2">
      <c r="B514" s="66"/>
    </row>
    <row r="515" spans="2:2">
      <c r="B515" s="66"/>
    </row>
    <row r="516" spans="2:2">
      <c r="B516" s="66"/>
    </row>
    <row r="517" spans="2:2">
      <c r="B517" s="66"/>
    </row>
    <row r="518" spans="2:2">
      <c r="B518" s="66"/>
    </row>
    <row r="519" spans="2:2">
      <c r="B519" s="66"/>
    </row>
    <row r="520" spans="2:2">
      <c r="B520" s="66"/>
    </row>
    <row r="521" spans="2:2">
      <c r="B521" s="66"/>
    </row>
    <row r="522" spans="2:2">
      <c r="B522" s="66"/>
    </row>
    <row r="523" spans="2:2">
      <c r="B523" s="66"/>
    </row>
    <row r="524" spans="2:2">
      <c r="B524" s="66"/>
    </row>
    <row r="525" spans="2:2">
      <c r="B525" s="66"/>
    </row>
    <row r="526" spans="2:2">
      <c r="B526" s="66"/>
    </row>
    <row r="527" spans="2:2">
      <c r="B527" s="66"/>
    </row>
    <row r="528" spans="2:2">
      <c r="B528" s="66"/>
    </row>
    <row r="529" spans="2:2">
      <c r="B529" s="66"/>
    </row>
    <row r="530" spans="2:2">
      <c r="B530" s="66"/>
    </row>
    <row r="531" spans="2:2">
      <c r="B531" s="66"/>
    </row>
    <row r="532" spans="2:2">
      <c r="B532" s="66"/>
    </row>
    <row r="533" spans="2:2">
      <c r="B533" s="66"/>
    </row>
    <row r="534" spans="2:2">
      <c r="B534" s="66"/>
    </row>
    <row r="535" spans="2:2">
      <c r="B535" s="66"/>
    </row>
    <row r="536" spans="2:2">
      <c r="B536" s="66"/>
    </row>
    <row r="537" spans="2:2">
      <c r="B537" s="66"/>
    </row>
    <row r="538" spans="2:2">
      <c r="B538" s="66"/>
    </row>
    <row r="539" spans="2:2">
      <c r="B539" s="66"/>
    </row>
    <row r="540" spans="2:2">
      <c r="B540" s="66"/>
    </row>
    <row r="541" spans="2:2">
      <c r="B541" s="66"/>
    </row>
    <row r="542" spans="2:2">
      <c r="B542" s="66"/>
    </row>
    <row r="543" spans="2:2">
      <c r="B543" s="66"/>
    </row>
    <row r="544" spans="2:2">
      <c r="B544" s="66"/>
    </row>
    <row r="545" spans="2:2">
      <c r="B545" s="66"/>
    </row>
    <row r="546" spans="2:2">
      <c r="B546" s="66"/>
    </row>
    <row r="547" spans="2:2">
      <c r="B547" s="66"/>
    </row>
    <row r="548" spans="2:2">
      <c r="B548" s="66"/>
    </row>
    <row r="549" spans="2:2">
      <c r="B549" s="66"/>
    </row>
    <row r="550" spans="2:2">
      <c r="B550" s="66"/>
    </row>
    <row r="551" spans="2:2">
      <c r="B551" s="66"/>
    </row>
    <row r="552" spans="2:2">
      <c r="B552" s="66"/>
    </row>
    <row r="553" spans="2:2">
      <c r="B553" s="66"/>
    </row>
    <row r="554" spans="2:2">
      <c r="B554" s="66"/>
    </row>
    <row r="555" spans="2:2">
      <c r="B555" s="66"/>
    </row>
    <row r="556" spans="2:2">
      <c r="B556" s="66"/>
    </row>
    <row r="557" spans="2:2">
      <c r="B557" s="66"/>
    </row>
    <row r="558" spans="2:2">
      <c r="B558" s="66"/>
    </row>
    <row r="559" spans="2:2">
      <c r="B559" s="66"/>
    </row>
    <row r="560" spans="2:2">
      <c r="B560" s="66"/>
    </row>
    <row r="561" spans="2:2">
      <c r="B561" s="66"/>
    </row>
    <row r="562" spans="2:2">
      <c r="B562" s="66"/>
    </row>
    <row r="563" spans="2:2">
      <c r="B563" s="66"/>
    </row>
    <row r="564" spans="2:2">
      <c r="B564" s="66"/>
    </row>
    <row r="565" spans="2:2">
      <c r="B565" s="66"/>
    </row>
    <row r="566" spans="2:2">
      <c r="B566" s="66"/>
    </row>
    <row r="567" spans="2:2">
      <c r="B567" s="66"/>
    </row>
    <row r="568" spans="2:2">
      <c r="B568" s="66"/>
    </row>
    <row r="569" spans="2:2">
      <c r="B569" s="66"/>
    </row>
    <row r="570" spans="2:2">
      <c r="B570" s="66"/>
    </row>
    <row r="571" spans="2:2">
      <c r="B571" s="66"/>
    </row>
    <row r="572" spans="2:2">
      <c r="B572" s="66"/>
    </row>
    <row r="573" spans="2:2">
      <c r="B573" s="66"/>
    </row>
    <row r="574" spans="2:2">
      <c r="B574" s="66"/>
    </row>
    <row r="575" spans="2:2">
      <c r="B575" s="66"/>
    </row>
    <row r="576" spans="2:2">
      <c r="B576" s="66"/>
    </row>
    <row r="577" spans="2:2">
      <c r="B577" s="66"/>
    </row>
    <row r="578" spans="2:2">
      <c r="B578" s="66"/>
    </row>
    <row r="579" spans="2:2">
      <c r="B579" s="66"/>
    </row>
    <row r="580" spans="2:2">
      <c r="B580" s="66"/>
    </row>
    <row r="581" spans="2:2">
      <c r="B581" s="66"/>
    </row>
    <row r="582" spans="2:2">
      <c r="B582" s="66"/>
    </row>
    <row r="583" spans="2:2">
      <c r="B583" s="66"/>
    </row>
    <row r="584" spans="2:2">
      <c r="B584" s="66"/>
    </row>
    <row r="585" spans="2:2">
      <c r="B585" s="66"/>
    </row>
    <row r="586" spans="2:2">
      <c r="B586" s="66"/>
    </row>
    <row r="587" spans="2:2">
      <c r="B587" s="66"/>
    </row>
    <row r="588" spans="2:2">
      <c r="B588" s="66"/>
    </row>
    <row r="589" spans="2:2">
      <c r="B589" s="66"/>
    </row>
    <row r="590" spans="2:2">
      <c r="B590" s="66"/>
    </row>
    <row r="591" spans="2:2">
      <c r="B591" s="66"/>
    </row>
    <row r="592" spans="2:2">
      <c r="B592" s="66"/>
    </row>
    <row r="593" spans="2:2">
      <c r="B593" s="66"/>
    </row>
    <row r="594" spans="2:2">
      <c r="B594" s="66"/>
    </row>
    <row r="595" spans="2:2">
      <c r="B595" s="66"/>
    </row>
    <row r="596" spans="2:2">
      <c r="B596" s="66"/>
    </row>
    <row r="597" spans="2:2">
      <c r="B597" s="66"/>
    </row>
    <row r="598" spans="2:2">
      <c r="B598" s="66"/>
    </row>
    <row r="599" spans="2:2">
      <c r="B599" s="66"/>
    </row>
    <row r="600" spans="2:2">
      <c r="B600" s="66"/>
    </row>
    <row r="601" spans="2:2">
      <c r="B601" s="66"/>
    </row>
    <row r="602" spans="2:2">
      <c r="B602" s="66"/>
    </row>
    <row r="603" spans="2:2">
      <c r="B603" s="66"/>
    </row>
    <row r="604" spans="2:2">
      <c r="B604" s="66"/>
    </row>
    <row r="605" spans="2:2">
      <c r="B605" s="66"/>
    </row>
    <row r="606" spans="2:2">
      <c r="B606" s="66"/>
    </row>
    <row r="607" spans="2:2">
      <c r="B607" s="66"/>
    </row>
    <row r="608" spans="2:2">
      <c r="B608" s="66"/>
    </row>
    <row r="609" spans="2:2">
      <c r="B609" s="66"/>
    </row>
    <row r="610" spans="2:2">
      <c r="B610" s="66"/>
    </row>
    <row r="611" spans="2:2">
      <c r="B611" s="66"/>
    </row>
    <row r="612" spans="2:2">
      <c r="B612" s="66"/>
    </row>
    <row r="613" spans="2:2">
      <c r="B613" s="66"/>
    </row>
    <row r="614" spans="2:2">
      <c r="B614" s="66"/>
    </row>
    <row r="615" spans="2:2">
      <c r="B615" s="66"/>
    </row>
    <row r="616" spans="2:2">
      <c r="B616" s="66"/>
    </row>
    <row r="617" spans="2:2">
      <c r="B617" s="66"/>
    </row>
    <row r="618" spans="2:2">
      <c r="B618" s="66"/>
    </row>
    <row r="619" spans="2:2">
      <c r="B619" s="66"/>
    </row>
    <row r="620" spans="2:2">
      <c r="B620" s="66"/>
    </row>
    <row r="621" spans="2:2">
      <c r="B621" s="66"/>
    </row>
    <row r="622" spans="2:2">
      <c r="B622" s="66"/>
    </row>
    <row r="623" spans="2:2">
      <c r="B623" s="66"/>
    </row>
    <row r="624" spans="2:2">
      <c r="B624" s="66"/>
    </row>
    <row r="625" spans="2:2">
      <c r="B625" s="66"/>
    </row>
    <row r="626" spans="2:2">
      <c r="B626" s="66"/>
    </row>
    <row r="627" spans="2:2">
      <c r="B627" s="66"/>
    </row>
    <row r="628" spans="2:2">
      <c r="B628" s="66"/>
    </row>
    <row r="629" spans="2:2">
      <c r="B629" s="66"/>
    </row>
    <row r="630" spans="2:2">
      <c r="B630" s="66"/>
    </row>
    <row r="631" spans="2:2">
      <c r="B631" s="66"/>
    </row>
    <row r="632" spans="2:2">
      <c r="B632" s="66"/>
    </row>
    <row r="633" spans="2:2">
      <c r="B633" s="66"/>
    </row>
    <row r="634" spans="2:2">
      <c r="B634" s="66"/>
    </row>
    <row r="635" spans="2:2">
      <c r="B635" s="66"/>
    </row>
    <row r="636" spans="2:2">
      <c r="B636" s="66"/>
    </row>
    <row r="637" spans="2:2">
      <c r="B637" s="66"/>
    </row>
    <row r="638" spans="2:2">
      <c r="B638" s="66"/>
    </row>
    <row r="639" spans="2:2">
      <c r="B639" s="66"/>
    </row>
    <row r="640" spans="2:2">
      <c r="B640" s="66"/>
    </row>
    <row r="641" spans="2:2">
      <c r="B641" s="66"/>
    </row>
    <row r="642" spans="2:2">
      <c r="B642" s="66"/>
    </row>
    <row r="643" spans="2:2">
      <c r="B643" s="66"/>
    </row>
    <row r="644" spans="2:2">
      <c r="B644" s="66"/>
    </row>
    <row r="645" spans="2:2">
      <c r="B645" s="66"/>
    </row>
    <row r="646" spans="2:2">
      <c r="B646" s="66"/>
    </row>
    <row r="647" spans="2:2">
      <c r="B647" s="66"/>
    </row>
    <row r="648" spans="2:2">
      <c r="B648" s="66"/>
    </row>
    <row r="649" spans="2:2">
      <c r="B649" s="66"/>
    </row>
    <row r="650" spans="2:2">
      <c r="B650" s="66"/>
    </row>
    <row r="651" spans="2:2">
      <c r="B651" s="66"/>
    </row>
    <row r="652" spans="2:2">
      <c r="B652" s="66"/>
    </row>
    <row r="653" spans="2:2">
      <c r="B653" s="66"/>
    </row>
    <row r="654" spans="2:2">
      <c r="B654" s="66"/>
    </row>
    <row r="655" spans="2:2">
      <c r="B655" s="66"/>
    </row>
    <row r="656" spans="2:2">
      <c r="B656" s="66"/>
    </row>
    <row r="657" spans="2:2">
      <c r="B657" s="66"/>
    </row>
    <row r="658" spans="2:2">
      <c r="B658" s="66"/>
    </row>
    <row r="659" spans="2:2">
      <c r="B659" s="66"/>
    </row>
    <row r="660" spans="2:2">
      <c r="B660" s="66"/>
    </row>
    <row r="661" spans="2:2">
      <c r="B661" s="66"/>
    </row>
    <row r="662" spans="2:2">
      <c r="B662" s="66"/>
    </row>
    <row r="663" spans="2:2">
      <c r="B663" s="66"/>
    </row>
    <row r="664" spans="2:2">
      <c r="B664" s="66"/>
    </row>
    <row r="665" spans="2:2">
      <c r="B665" s="66"/>
    </row>
    <row r="666" spans="2:2">
      <c r="B666" s="66"/>
    </row>
    <row r="667" spans="2:2">
      <c r="B667" s="66"/>
    </row>
    <row r="668" spans="2:2">
      <c r="B668" s="66"/>
    </row>
    <row r="669" spans="2:2">
      <c r="B669" s="66"/>
    </row>
    <row r="670" spans="2:2">
      <c r="B670" s="66"/>
    </row>
    <row r="671" spans="2:2">
      <c r="B671" s="66"/>
    </row>
    <row r="672" spans="2:2">
      <c r="B672" s="66"/>
    </row>
    <row r="673" spans="2:2">
      <c r="B673" s="66"/>
    </row>
    <row r="674" spans="2:2">
      <c r="B674" s="66"/>
    </row>
    <row r="675" spans="2:2">
      <c r="B675" s="66"/>
    </row>
    <row r="676" spans="2:2">
      <c r="B676" s="66"/>
    </row>
    <row r="677" spans="2:2">
      <c r="B677" s="66"/>
    </row>
    <row r="678" spans="2:2">
      <c r="B678" s="66"/>
    </row>
    <row r="679" spans="2:2">
      <c r="B679" s="66"/>
    </row>
    <row r="680" spans="2:2">
      <c r="B680" s="66"/>
    </row>
    <row r="681" spans="2:2">
      <c r="B681" s="66"/>
    </row>
    <row r="682" spans="2:2">
      <c r="B682" s="66"/>
    </row>
    <row r="683" spans="2:2">
      <c r="B683" s="66"/>
    </row>
    <row r="684" spans="2:2">
      <c r="B684" s="66"/>
    </row>
    <row r="685" spans="2:2">
      <c r="B685" s="66"/>
    </row>
    <row r="686" spans="2:2">
      <c r="B686" s="66"/>
    </row>
    <row r="687" spans="2:2">
      <c r="B687" s="66"/>
    </row>
    <row r="688" spans="2:2">
      <c r="B688" s="66"/>
    </row>
    <row r="689" spans="2:2">
      <c r="B689" s="66"/>
    </row>
    <row r="690" spans="2:2">
      <c r="B690" s="66"/>
    </row>
    <row r="691" spans="2:2">
      <c r="B691" s="66"/>
    </row>
    <row r="692" spans="2:2">
      <c r="B692" s="66"/>
    </row>
    <row r="693" spans="2:2">
      <c r="B693" s="66"/>
    </row>
    <row r="694" spans="2:2">
      <c r="B694" s="66"/>
    </row>
    <row r="695" spans="2:2">
      <c r="B695" s="66"/>
    </row>
    <row r="696" spans="2:2">
      <c r="B696" s="66"/>
    </row>
    <row r="697" spans="2:2">
      <c r="B697" s="66"/>
    </row>
    <row r="698" spans="2:2">
      <c r="B698" s="66"/>
    </row>
    <row r="699" spans="2:2">
      <c r="B699" s="66"/>
    </row>
    <row r="700" spans="2:2">
      <c r="B700" s="66"/>
    </row>
    <row r="701" spans="2:2">
      <c r="B701" s="66"/>
    </row>
    <row r="702" spans="2:2">
      <c r="B702" s="66"/>
    </row>
    <row r="703" spans="2:2">
      <c r="B703" s="66"/>
    </row>
    <row r="704" spans="2:2">
      <c r="B704" s="66"/>
    </row>
    <row r="705" spans="2:2">
      <c r="B705" s="66"/>
    </row>
    <row r="706" spans="2:2">
      <c r="B706" s="66"/>
    </row>
    <row r="707" spans="2:2">
      <c r="B707" s="66"/>
    </row>
    <row r="708" spans="2:2">
      <c r="B708" s="66"/>
    </row>
    <row r="709" spans="2:2">
      <c r="B709" s="66"/>
    </row>
    <row r="710" spans="2:2">
      <c r="B710" s="66"/>
    </row>
    <row r="711" spans="2:2">
      <c r="B711" s="66"/>
    </row>
    <row r="712" spans="2:2">
      <c r="B712" s="66"/>
    </row>
    <row r="713" spans="2:2">
      <c r="B713" s="66"/>
    </row>
    <row r="714" spans="2:2">
      <c r="B714" s="66"/>
    </row>
    <row r="715" spans="2:2">
      <c r="B715" s="66"/>
    </row>
    <row r="716" spans="2:2">
      <c r="B716" s="66"/>
    </row>
    <row r="717" spans="2:2">
      <c r="B717" s="66"/>
    </row>
    <row r="718" spans="2:2">
      <c r="B718" s="66"/>
    </row>
    <row r="719" spans="2:2">
      <c r="B719" s="66"/>
    </row>
    <row r="720" spans="2:2">
      <c r="B720" s="66"/>
    </row>
    <row r="721" spans="2:2">
      <c r="B721" s="66"/>
    </row>
    <row r="722" spans="2:2">
      <c r="B722" s="66"/>
    </row>
    <row r="723" spans="2:2">
      <c r="B723" s="66"/>
    </row>
    <row r="724" spans="2:2">
      <c r="B724" s="66"/>
    </row>
    <row r="725" spans="2:2">
      <c r="B725" s="66"/>
    </row>
    <row r="726" spans="2:2">
      <c r="B726" s="66"/>
    </row>
    <row r="727" spans="2:2">
      <c r="B727" s="66"/>
    </row>
    <row r="728" spans="2:2">
      <c r="B728" s="66"/>
    </row>
    <row r="729" spans="2:2">
      <c r="B729" s="66"/>
    </row>
    <row r="730" spans="2:2">
      <c r="B730" s="66"/>
    </row>
    <row r="731" spans="2:2">
      <c r="B731" s="66"/>
    </row>
    <row r="732" spans="2:2">
      <c r="B732" s="66"/>
    </row>
    <row r="733" spans="2:2">
      <c r="B733" s="66"/>
    </row>
    <row r="734" spans="2:2">
      <c r="B734" s="66"/>
    </row>
    <row r="735" spans="2:2">
      <c r="B735" s="66"/>
    </row>
    <row r="736" spans="2:2">
      <c r="B736" s="66"/>
    </row>
    <row r="737" spans="2:2">
      <c r="B737" s="66"/>
    </row>
    <row r="738" spans="2:2">
      <c r="B738" s="66"/>
    </row>
    <row r="739" spans="2:2">
      <c r="B739" s="66"/>
    </row>
    <row r="740" spans="2:2">
      <c r="B740" s="66"/>
    </row>
    <row r="741" spans="2:2">
      <c r="B741" s="66"/>
    </row>
    <row r="742" spans="2:2">
      <c r="B742" s="66"/>
    </row>
    <row r="743" spans="2:2">
      <c r="B743" s="66"/>
    </row>
    <row r="744" spans="2:2">
      <c r="B744" s="66"/>
    </row>
    <row r="745" spans="2:2">
      <c r="B745" s="66"/>
    </row>
    <row r="746" spans="2:2">
      <c r="B746" s="66"/>
    </row>
    <row r="747" spans="2:2">
      <c r="B747" s="66"/>
    </row>
    <row r="748" spans="2:2">
      <c r="B748" s="66"/>
    </row>
    <row r="749" spans="2:2">
      <c r="B749" s="66"/>
    </row>
    <row r="750" spans="2:2">
      <c r="B750" s="66"/>
    </row>
    <row r="751" spans="2:2">
      <c r="B751" s="66"/>
    </row>
    <row r="752" spans="2:2">
      <c r="B752" s="66"/>
    </row>
    <row r="753" spans="2:2">
      <c r="B753" s="66"/>
    </row>
    <row r="754" spans="2:2">
      <c r="B754" s="66"/>
    </row>
    <row r="755" spans="2:2">
      <c r="B755" s="66"/>
    </row>
    <row r="756" spans="2:2">
      <c r="B756" s="66"/>
    </row>
    <row r="757" spans="2:2">
      <c r="B757" s="66"/>
    </row>
    <row r="758" spans="2:2">
      <c r="B758" s="66"/>
    </row>
    <row r="759" spans="2:2">
      <c r="B759" s="66"/>
    </row>
    <row r="760" spans="2:2">
      <c r="B760" s="66"/>
    </row>
    <row r="761" spans="2:2">
      <c r="B761" s="66"/>
    </row>
    <row r="762" spans="2:2">
      <c r="B762" s="66"/>
    </row>
    <row r="763" spans="2:2">
      <c r="B763" s="66"/>
    </row>
    <row r="764" spans="2:2">
      <c r="B764" s="66"/>
    </row>
    <row r="765" spans="2:2">
      <c r="B765" s="66"/>
    </row>
    <row r="766" spans="2:2">
      <c r="B766" s="66"/>
    </row>
    <row r="767" spans="2:2">
      <c r="B767" s="66"/>
    </row>
    <row r="768" spans="2:2">
      <c r="B768" s="66"/>
    </row>
    <row r="769" spans="2:2">
      <c r="B769" s="66"/>
    </row>
    <row r="770" spans="2:2">
      <c r="B770" s="66"/>
    </row>
    <row r="771" spans="2:2">
      <c r="B771" s="66"/>
    </row>
    <row r="772" spans="2:2">
      <c r="B772" s="66"/>
    </row>
    <row r="773" spans="2:2">
      <c r="B773" s="66"/>
    </row>
    <row r="774" spans="2:2">
      <c r="B774" s="66"/>
    </row>
    <row r="775" spans="2:2">
      <c r="B775" s="66"/>
    </row>
    <row r="776" spans="2:2">
      <c r="B776" s="66"/>
    </row>
    <row r="777" spans="2:2">
      <c r="B777" s="66"/>
    </row>
    <row r="778" spans="2:2">
      <c r="B778" s="66"/>
    </row>
    <row r="779" spans="2:2">
      <c r="B779" s="66"/>
    </row>
    <row r="780" spans="2:2">
      <c r="B780" s="66"/>
    </row>
    <row r="781" spans="2:2">
      <c r="B781" s="66"/>
    </row>
    <row r="782" spans="2:2">
      <c r="B782" s="66"/>
    </row>
    <row r="783" spans="2:2">
      <c r="B783" s="66"/>
    </row>
    <row r="784" spans="2:2">
      <c r="B784" s="66"/>
    </row>
    <row r="785" spans="2:2">
      <c r="B785" s="66"/>
    </row>
    <row r="786" spans="2:2">
      <c r="B786" s="66"/>
    </row>
    <row r="787" spans="2:2">
      <c r="B787" s="66"/>
    </row>
    <row r="788" spans="2:2">
      <c r="B788" s="66"/>
    </row>
    <row r="789" spans="2:2">
      <c r="B789" s="66"/>
    </row>
    <row r="790" spans="2:2">
      <c r="B790" s="66"/>
    </row>
    <row r="791" spans="2:2">
      <c r="B791" s="66"/>
    </row>
    <row r="792" spans="2:2">
      <c r="B792" s="66"/>
    </row>
    <row r="793" spans="2:2">
      <c r="B793" s="66"/>
    </row>
    <row r="794" spans="2:2">
      <c r="B794" s="66"/>
    </row>
    <row r="795" spans="2:2">
      <c r="B795" s="66"/>
    </row>
    <row r="796" spans="2:2">
      <c r="B796" s="66"/>
    </row>
    <row r="797" spans="2:2">
      <c r="B797" s="66"/>
    </row>
    <row r="798" spans="2:2">
      <c r="B798" s="66"/>
    </row>
    <row r="799" spans="2:2">
      <c r="B799" s="66"/>
    </row>
    <row r="800" spans="2:2">
      <c r="B800" s="66"/>
    </row>
    <row r="801" spans="2:2">
      <c r="B801" s="66"/>
    </row>
    <row r="802" spans="2:2">
      <c r="B802" s="66"/>
    </row>
    <row r="803" spans="2:2">
      <c r="B803" s="66"/>
    </row>
    <row r="804" spans="2:2">
      <c r="B804" s="66"/>
    </row>
    <row r="805" spans="2:2">
      <c r="B805" s="66"/>
    </row>
    <row r="806" spans="2:2">
      <c r="B806" s="66"/>
    </row>
    <row r="807" spans="2:2">
      <c r="B807" s="66"/>
    </row>
    <row r="808" spans="2:2">
      <c r="B808" s="66"/>
    </row>
    <row r="809" spans="2:2">
      <c r="B809" s="66"/>
    </row>
    <row r="810" spans="2:2">
      <c r="B810" s="66"/>
    </row>
    <row r="811" spans="2:2">
      <c r="B811" s="66"/>
    </row>
    <row r="812" spans="2:2">
      <c r="B812" s="66"/>
    </row>
    <row r="813" spans="2:2">
      <c r="B813" s="66"/>
    </row>
    <row r="814" spans="2:2">
      <c r="B814" s="66"/>
    </row>
    <row r="815" spans="2:2">
      <c r="B815" s="66"/>
    </row>
    <row r="816" spans="2:2">
      <c r="B816" s="66"/>
    </row>
    <row r="817" spans="2:2">
      <c r="B817" s="66"/>
    </row>
    <row r="818" spans="2:2">
      <c r="B818" s="66"/>
    </row>
    <row r="819" spans="2:2">
      <c r="B819" s="66"/>
    </row>
    <row r="820" spans="2:2">
      <c r="B820" s="66"/>
    </row>
    <row r="821" spans="2:2">
      <c r="B821" s="66"/>
    </row>
    <row r="822" spans="2:2">
      <c r="B822" s="66"/>
    </row>
    <row r="823" spans="2:2">
      <c r="B823" s="66"/>
    </row>
    <row r="824" spans="2:2">
      <c r="B824" s="66"/>
    </row>
    <row r="825" spans="2:2">
      <c r="B825" s="66"/>
    </row>
    <row r="826" spans="2:2">
      <c r="B826" s="66"/>
    </row>
    <row r="827" spans="2:2">
      <c r="B827" s="66"/>
    </row>
    <row r="828" spans="2:2">
      <c r="B828" s="66"/>
    </row>
    <row r="829" spans="2:2">
      <c r="B829" s="66"/>
    </row>
    <row r="830" spans="2:2">
      <c r="B830" s="66"/>
    </row>
    <row r="831" spans="2:2">
      <c r="B831" s="66"/>
    </row>
    <row r="832" spans="2:2">
      <c r="B832" s="66"/>
    </row>
    <row r="833" spans="2:2">
      <c r="B833" s="66"/>
    </row>
    <row r="834" spans="2:2">
      <c r="B834" s="66"/>
    </row>
    <row r="835" spans="2:2">
      <c r="B835" s="66"/>
    </row>
    <row r="836" spans="2:2">
      <c r="B836" s="66"/>
    </row>
    <row r="837" spans="2:2">
      <c r="B837" s="66"/>
    </row>
    <row r="838" spans="2:2">
      <c r="B838" s="66"/>
    </row>
    <row r="839" spans="2:2">
      <c r="B839" s="66"/>
    </row>
    <row r="840" spans="2:2">
      <c r="B840" s="66"/>
    </row>
    <row r="841" spans="2:2">
      <c r="B841" s="66"/>
    </row>
    <row r="842" spans="2:2">
      <c r="B842" s="66"/>
    </row>
    <row r="843" spans="2:2">
      <c r="B843" s="66"/>
    </row>
    <row r="844" spans="2:2">
      <c r="B844" s="66"/>
    </row>
    <row r="845" spans="2:2">
      <c r="B845" s="66"/>
    </row>
    <row r="846" spans="2:2">
      <c r="B846" s="66"/>
    </row>
    <row r="847" spans="2:2">
      <c r="B847" s="66"/>
    </row>
    <row r="848" spans="2:2">
      <c r="B848" s="66"/>
    </row>
    <row r="849" spans="2:2">
      <c r="B849" s="66"/>
    </row>
    <row r="850" spans="2:2">
      <c r="B850" s="66"/>
    </row>
    <row r="851" spans="2:2">
      <c r="B851" s="66"/>
    </row>
    <row r="852" spans="2:2">
      <c r="B852" s="66"/>
    </row>
    <row r="853" spans="2:2">
      <c r="B853" s="66"/>
    </row>
    <row r="854" spans="2:2">
      <c r="B854" s="66"/>
    </row>
    <row r="855" spans="2:2">
      <c r="B855" s="66"/>
    </row>
    <row r="856" spans="2:2">
      <c r="B856" s="66"/>
    </row>
    <row r="857" spans="2:2">
      <c r="B857" s="66"/>
    </row>
    <row r="858" spans="2:2">
      <c r="B858" s="66"/>
    </row>
    <row r="859" spans="2:2">
      <c r="B859" s="66"/>
    </row>
  </sheetData>
  <sheetProtection algorithmName="SHA-512" hashValue="oTHcrS5J1zZZPQUSz0UZztbFrk/wHArgzyk3HnvIbaMX/YoyCqez5yazH+hCh7syajA61jufoTWPj0+3WD0VDQ==" saltValue="OdMKftTjlzYiNV3H5YPMXw==" spinCount="100000" sheet="1" objects="1" scenarios="1"/>
  <mergeCells count="8">
    <mergeCell ref="J53:J56"/>
    <mergeCell ref="R53:R56"/>
    <mergeCell ref="B7:C7"/>
    <mergeCell ref="B9:C9"/>
    <mergeCell ref="J38:J44"/>
    <mergeCell ref="R38:R44"/>
    <mergeCell ref="J47:J50"/>
    <mergeCell ref="R47:R50"/>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Workforce</vt:lpstr>
      <vt:lpstr>Health and Safety</vt:lpstr>
      <vt:lpstr>Community Relations</vt:lpstr>
      <vt:lpstr>Energy and Emissions</vt:lpstr>
      <vt:lpstr>Water and Biodiversity</vt:lpstr>
      <vt:lpstr>Tailings and Waste</vt:lpstr>
      <vt:lpstr>Business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Aguiñaga</dc:creator>
  <cp:lastModifiedBy>Edna Aguiñaga</cp:lastModifiedBy>
  <dcterms:created xsi:type="dcterms:W3CDTF">2024-04-26T20:02:06Z</dcterms:created>
  <dcterms:modified xsi:type="dcterms:W3CDTF">2024-05-10T17:57:57Z</dcterms:modified>
</cp:coreProperties>
</file>